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65" yWindow="105" windowWidth="16260" windowHeight="6825"/>
  </bookViews>
  <sheets>
    <sheet name="ST10-1" sheetId="1" r:id="rId1"/>
    <sheet name="ST10-2" sheetId="4" r:id="rId2"/>
    <sheet name="P10-1" sheetId="2" r:id="rId3"/>
    <sheet name="P10-2" sheetId="5" r:id="rId4"/>
    <sheet name="P10-3" sheetId="6" r:id="rId5"/>
    <sheet name="P10-4" sheetId="7" r:id="rId6"/>
    <sheet name="P10-6" sheetId="9" r:id="rId7"/>
    <sheet name="P10-10 b)" sheetId="8" r:id="rId8"/>
    <sheet name="P10-11" sheetId="10" r:id="rId9"/>
    <sheet name="P10-12" sheetId="11" r:id="rId10"/>
    <sheet name="P10-13" sheetId="12" r:id="rId11"/>
    <sheet name="MiniCase" sheetId="13" r:id="rId12"/>
  </sheets>
  <calcPr calcId="125725"/>
</workbook>
</file>

<file path=xl/calcChain.xml><?xml version="1.0" encoding="utf-8"?>
<calcChain xmlns="http://schemas.openxmlformats.org/spreadsheetml/2006/main">
  <c r="B23" i="13"/>
  <c r="I27"/>
  <c r="C28"/>
  <c r="B15"/>
  <c r="C20"/>
  <c r="I19"/>
  <c r="B11"/>
  <c r="B10"/>
  <c r="N7"/>
  <c r="T4"/>
  <c r="S4"/>
  <c r="R4"/>
  <c r="Q4"/>
  <c r="P4"/>
  <c r="O4"/>
  <c r="O5" s="1"/>
  <c r="O6" s="1"/>
  <c r="N4"/>
  <c r="C3" i="12"/>
  <c r="P5" i="13" l="1"/>
  <c r="P6" s="1"/>
  <c r="O7"/>
  <c r="D5"/>
  <c r="D6" s="1"/>
  <c r="D7" s="1"/>
  <c r="M43" i="11"/>
  <c r="M44"/>
  <c r="N42"/>
  <c r="N44" s="1"/>
  <c r="V41"/>
  <c r="U41"/>
  <c r="T41"/>
  <c r="S41"/>
  <c r="R41"/>
  <c r="Q41"/>
  <c r="P41"/>
  <c r="O41"/>
  <c r="N41"/>
  <c r="M41"/>
  <c r="M34"/>
  <c r="N32"/>
  <c r="N33" s="1"/>
  <c r="S31"/>
  <c r="R31"/>
  <c r="Q31"/>
  <c r="P31"/>
  <c r="O31"/>
  <c r="N31"/>
  <c r="M31"/>
  <c r="M16"/>
  <c r="N14"/>
  <c r="N16" s="1"/>
  <c r="V13"/>
  <c r="U13"/>
  <c r="T13"/>
  <c r="S13"/>
  <c r="R13"/>
  <c r="Q13"/>
  <c r="P13"/>
  <c r="O13"/>
  <c r="N13"/>
  <c r="M13"/>
  <c r="M6"/>
  <c r="N4"/>
  <c r="N5" s="1"/>
  <c r="S3"/>
  <c r="R3"/>
  <c r="Q3"/>
  <c r="P3"/>
  <c r="O3"/>
  <c r="N3"/>
  <c r="M3"/>
  <c r="D24" i="10"/>
  <c r="D23"/>
  <c r="E14"/>
  <c r="F14"/>
  <c r="G14"/>
  <c r="H14"/>
  <c r="D14"/>
  <c r="N20"/>
  <c r="M16"/>
  <c r="N14"/>
  <c r="N15" s="1"/>
  <c r="V13"/>
  <c r="U13"/>
  <c r="T13"/>
  <c r="S13"/>
  <c r="R13"/>
  <c r="Q13"/>
  <c r="P13"/>
  <c r="O13"/>
  <c r="N13"/>
  <c r="M13"/>
  <c r="M6"/>
  <c r="N4"/>
  <c r="N5" s="1"/>
  <c r="S3"/>
  <c r="R3"/>
  <c r="Q3"/>
  <c r="P3"/>
  <c r="O3"/>
  <c r="N3"/>
  <c r="M3"/>
  <c r="D8" i="13" l="1"/>
  <c r="D9" s="1"/>
  <c r="D12" s="1"/>
  <c r="Q5"/>
  <c r="E5"/>
  <c r="E6" s="1"/>
  <c r="E7" s="1"/>
  <c r="P7"/>
  <c r="N15" i="11"/>
  <c r="O14" s="1"/>
  <c r="O16" s="1"/>
  <c r="N43"/>
  <c r="O42" s="1"/>
  <c r="O44" s="1"/>
  <c r="O32"/>
  <c r="D32"/>
  <c r="D33" s="1"/>
  <c r="N34"/>
  <c r="O4"/>
  <c r="O5" s="1"/>
  <c r="N6"/>
  <c r="D4"/>
  <c r="D5" s="1"/>
  <c r="O15"/>
  <c r="P14" s="1"/>
  <c r="O14" i="10"/>
  <c r="O16" s="1"/>
  <c r="N16"/>
  <c r="O4"/>
  <c r="N6"/>
  <c r="D4"/>
  <c r="D5" s="1"/>
  <c r="V13" i="8"/>
  <c r="T13"/>
  <c r="U13"/>
  <c r="M16"/>
  <c r="S13"/>
  <c r="R13"/>
  <c r="Q13"/>
  <c r="P13"/>
  <c r="O13"/>
  <c r="N13"/>
  <c r="N14" s="1"/>
  <c r="N16" s="1"/>
  <c r="M13"/>
  <c r="M6"/>
  <c r="N4"/>
  <c r="N5" s="1"/>
  <c r="O4" s="1"/>
  <c r="O6" s="1"/>
  <c r="S3"/>
  <c r="R3"/>
  <c r="Q3"/>
  <c r="P3"/>
  <c r="O3"/>
  <c r="N3"/>
  <c r="M3"/>
  <c r="D7" i="9"/>
  <c r="E7"/>
  <c r="F7"/>
  <c r="G7"/>
  <c r="C6"/>
  <c r="C7"/>
  <c r="D3"/>
  <c r="E3"/>
  <c r="F3"/>
  <c r="F5" s="1"/>
  <c r="F6" s="1"/>
  <c r="G3"/>
  <c r="G5" s="1"/>
  <c r="G6" s="1"/>
  <c r="D5"/>
  <c r="D6" s="1"/>
  <c r="E5"/>
  <c r="E6" s="1"/>
  <c r="C5"/>
  <c r="C3"/>
  <c r="E7" i="7"/>
  <c r="F7"/>
  <c r="G7"/>
  <c r="H7"/>
  <c r="E3"/>
  <c r="E4" s="1"/>
  <c r="F3"/>
  <c r="F4" s="1"/>
  <c r="G3"/>
  <c r="G4" s="1"/>
  <c r="H3"/>
  <c r="H4" s="1"/>
  <c r="D7"/>
  <c r="D6"/>
  <c r="D5"/>
  <c r="D4"/>
  <c r="D3"/>
  <c r="D11"/>
  <c r="D8" i="6"/>
  <c r="E8"/>
  <c r="F8"/>
  <c r="G8"/>
  <c r="C8"/>
  <c r="D6"/>
  <c r="D7" s="1"/>
  <c r="E6"/>
  <c r="E7" s="1"/>
  <c r="F6"/>
  <c r="G6"/>
  <c r="F7"/>
  <c r="G7"/>
  <c r="C7"/>
  <c r="C6"/>
  <c r="D5"/>
  <c r="E5"/>
  <c r="F5"/>
  <c r="G5"/>
  <c r="C5"/>
  <c r="D3"/>
  <c r="E3"/>
  <c r="F3"/>
  <c r="G3"/>
  <c r="C3"/>
  <c r="D4"/>
  <c r="E4"/>
  <c r="F4"/>
  <c r="G4"/>
  <c r="C4"/>
  <c r="E12"/>
  <c r="D26" i="13" l="1"/>
  <c r="D28" s="1"/>
  <c r="D18"/>
  <c r="D20" s="1"/>
  <c r="E8"/>
  <c r="E9" s="1"/>
  <c r="E12" s="1"/>
  <c r="F5"/>
  <c r="F6" s="1"/>
  <c r="F7" s="1"/>
  <c r="Q7"/>
  <c r="Q6"/>
  <c r="O43" i="11"/>
  <c r="P42" s="1"/>
  <c r="D42"/>
  <c r="D43" s="1"/>
  <c r="P44"/>
  <c r="P43"/>
  <c r="N48"/>
  <c r="D34"/>
  <c r="D35" s="1"/>
  <c r="D36" s="1"/>
  <c r="D51" s="1"/>
  <c r="E32"/>
  <c r="E33" s="1"/>
  <c r="O34"/>
  <c r="O33"/>
  <c r="P5"/>
  <c r="D14"/>
  <c r="D15" s="1"/>
  <c r="P16"/>
  <c r="P15"/>
  <c r="N20"/>
  <c r="D6"/>
  <c r="D7" s="1"/>
  <c r="D8" s="1"/>
  <c r="D23" s="1"/>
  <c r="P4"/>
  <c r="E4"/>
  <c r="E5" s="1"/>
  <c r="O6"/>
  <c r="O15" i="10"/>
  <c r="E4"/>
  <c r="E5" s="1"/>
  <c r="O6"/>
  <c r="O5"/>
  <c r="D6"/>
  <c r="D7" s="1"/>
  <c r="D8" s="1"/>
  <c r="D4" i="8"/>
  <c r="D5" s="1"/>
  <c r="D6" s="1"/>
  <c r="D7" s="1"/>
  <c r="D8" s="1"/>
  <c r="D23" s="1"/>
  <c r="E4"/>
  <c r="E5" s="1"/>
  <c r="E6" s="1"/>
  <c r="N15"/>
  <c r="O14"/>
  <c r="O16" s="1"/>
  <c r="N6"/>
  <c r="O5"/>
  <c r="H5" i="7"/>
  <c r="H6"/>
  <c r="G5"/>
  <c r="G6"/>
  <c r="F5"/>
  <c r="F6" s="1"/>
  <c r="E5"/>
  <c r="E6" s="1"/>
  <c r="D31" i="5"/>
  <c r="D27"/>
  <c r="D25"/>
  <c r="D21"/>
  <c r="E19"/>
  <c r="E21" s="1"/>
  <c r="J18"/>
  <c r="I18"/>
  <c r="H18"/>
  <c r="G18"/>
  <c r="F18"/>
  <c r="E18"/>
  <c r="D18"/>
  <c r="D10"/>
  <c r="J7"/>
  <c r="I7"/>
  <c r="H7"/>
  <c r="G7"/>
  <c r="F7"/>
  <c r="E7"/>
  <c r="E8" s="1"/>
  <c r="E10" s="1"/>
  <c r="D7"/>
  <c r="E19" i="1"/>
  <c r="E18" i="13" l="1"/>
  <c r="E20" s="1"/>
  <c r="E26"/>
  <c r="E28" s="1"/>
  <c r="F8"/>
  <c r="F9" s="1"/>
  <c r="F12" s="1"/>
  <c r="R5"/>
  <c r="Q42" i="11"/>
  <c r="P32"/>
  <c r="D44"/>
  <c r="D45" s="1"/>
  <c r="D46" s="1"/>
  <c r="D52" s="1"/>
  <c r="D53" s="1"/>
  <c r="E34"/>
  <c r="E35" s="1"/>
  <c r="E36" s="1"/>
  <c r="E51" s="1"/>
  <c r="Q14"/>
  <c r="D16"/>
  <c r="D17" s="1"/>
  <c r="D18" s="1"/>
  <c r="D24" s="1"/>
  <c r="D25" s="1"/>
  <c r="E6"/>
  <c r="E7" s="1"/>
  <c r="E8" s="1"/>
  <c r="E23" s="1"/>
  <c r="Q4"/>
  <c r="F4"/>
  <c r="F5" s="1"/>
  <c r="P6"/>
  <c r="P14" i="10"/>
  <c r="P16" s="1"/>
  <c r="P15"/>
  <c r="E6"/>
  <c r="E7" s="1"/>
  <c r="E8" s="1"/>
  <c r="E23" s="1"/>
  <c r="P4"/>
  <c r="O15" i="8"/>
  <c r="P14" s="1"/>
  <c r="P16" s="1"/>
  <c r="E7"/>
  <c r="E8" s="1"/>
  <c r="E23" s="1"/>
  <c r="P15"/>
  <c r="N20" s="1"/>
  <c r="P4"/>
  <c r="E20" i="5"/>
  <c r="F19" s="1"/>
  <c r="F21" s="1"/>
  <c r="E9"/>
  <c r="F8" s="1"/>
  <c r="L24" i="2"/>
  <c r="L25" s="1"/>
  <c r="L27" s="1"/>
  <c r="M24"/>
  <c r="M25" s="1"/>
  <c r="M27" s="1"/>
  <c r="N24"/>
  <c r="N25" s="1"/>
  <c r="N27" s="1"/>
  <c r="O24"/>
  <c r="O25" s="1"/>
  <c r="O27" s="1"/>
  <c r="P24"/>
  <c r="Q24"/>
  <c r="R24"/>
  <c r="S24"/>
  <c r="S25" s="1"/>
  <c r="S27" s="1"/>
  <c r="T24"/>
  <c r="T25" s="1"/>
  <c r="T27" s="1"/>
  <c r="U24"/>
  <c r="U25" s="1"/>
  <c r="U27" s="1"/>
  <c r="V24"/>
  <c r="V25" s="1"/>
  <c r="V27" s="1"/>
  <c r="W24"/>
  <c r="W25" s="1"/>
  <c r="W27" s="1"/>
  <c r="X24"/>
  <c r="P25"/>
  <c r="P27" s="1"/>
  <c r="Q25"/>
  <c r="Q27" s="1"/>
  <c r="R25"/>
  <c r="R27" s="1"/>
  <c r="X25"/>
  <c r="X27" s="1"/>
  <c r="K24"/>
  <c r="K25" s="1"/>
  <c r="K27" s="1"/>
  <c r="J24"/>
  <c r="J25" s="1"/>
  <c r="J27" s="1"/>
  <c r="I24"/>
  <c r="I25" s="1"/>
  <c r="I27" s="1"/>
  <c r="H24"/>
  <c r="H25" s="1"/>
  <c r="H27" s="1"/>
  <c r="G24"/>
  <c r="G25" s="1"/>
  <c r="G27" s="1"/>
  <c r="F24"/>
  <c r="F25" s="1"/>
  <c r="F27" s="1"/>
  <c r="E24"/>
  <c r="E25" s="1"/>
  <c r="E27" s="1"/>
  <c r="H15"/>
  <c r="H16" s="1"/>
  <c r="H18" s="1"/>
  <c r="I15"/>
  <c r="I16" s="1"/>
  <c r="I18" s="1"/>
  <c r="J15"/>
  <c r="J16" s="1"/>
  <c r="J18" s="1"/>
  <c r="K15"/>
  <c r="K16" s="1"/>
  <c r="K18" s="1"/>
  <c r="G15"/>
  <c r="G16" s="1"/>
  <c r="G18" s="1"/>
  <c r="F15"/>
  <c r="F16" s="1"/>
  <c r="F18" s="1"/>
  <c r="E15"/>
  <c r="E16" s="1"/>
  <c r="E18" s="1"/>
  <c r="E7"/>
  <c r="E9" s="1"/>
  <c r="F6"/>
  <c r="F7" s="1"/>
  <c r="F9" s="1"/>
  <c r="G6"/>
  <c r="G7" s="1"/>
  <c r="G9" s="1"/>
  <c r="E6"/>
  <c r="E68" i="4"/>
  <c r="F68"/>
  <c r="G68"/>
  <c r="D68"/>
  <c r="D72"/>
  <c r="D71"/>
  <c r="D64"/>
  <c r="E64"/>
  <c r="F64"/>
  <c r="G64"/>
  <c r="H64"/>
  <c r="H58"/>
  <c r="G58"/>
  <c r="F58"/>
  <c r="E58"/>
  <c r="E60" s="1"/>
  <c r="E48" s="1"/>
  <c r="F47"/>
  <c r="H42"/>
  <c r="G42"/>
  <c r="F42"/>
  <c r="E42"/>
  <c r="D14"/>
  <c r="E20"/>
  <c r="E21" s="1"/>
  <c r="F20"/>
  <c r="G20"/>
  <c r="H20"/>
  <c r="D20"/>
  <c r="E7"/>
  <c r="F7"/>
  <c r="E18" i="1"/>
  <c r="F18"/>
  <c r="G18"/>
  <c r="H18"/>
  <c r="I18"/>
  <c r="J18"/>
  <c r="D18"/>
  <c r="E6"/>
  <c r="F5"/>
  <c r="G5" s="1"/>
  <c r="H5" s="1"/>
  <c r="I5" s="1"/>
  <c r="J5" s="1"/>
  <c r="F4"/>
  <c r="G4" s="1"/>
  <c r="F18" i="13" l="1"/>
  <c r="F20" s="1"/>
  <c r="F26"/>
  <c r="F28" s="1"/>
  <c r="G5"/>
  <c r="G6" s="1"/>
  <c r="G7" s="1"/>
  <c r="R7"/>
  <c r="R6"/>
  <c r="F32" i="11"/>
  <c r="F33" s="1"/>
  <c r="P34"/>
  <c r="P33"/>
  <c r="Q44"/>
  <c r="E42"/>
  <c r="E43" s="1"/>
  <c r="Q43"/>
  <c r="Q16"/>
  <c r="E14"/>
  <c r="E15" s="1"/>
  <c r="F6"/>
  <c r="F7"/>
  <c r="F8" s="1"/>
  <c r="F23" s="1"/>
  <c r="Q15"/>
  <c r="G4"/>
  <c r="G5" s="1"/>
  <c r="Q6"/>
  <c r="Q5"/>
  <c r="Q14" i="10"/>
  <c r="F4"/>
  <c r="F5" s="1"/>
  <c r="P6"/>
  <c r="P5"/>
  <c r="P6" i="8"/>
  <c r="F4"/>
  <c r="F5" s="1"/>
  <c r="F6" s="1"/>
  <c r="F7" s="1"/>
  <c r="F8" s="1"/>
  <c r="F23" s="1"/>
  <c r="Q14"/>
  <c r="P5"/>
  <c r="Q4" s="1"/>
  <c r="F20" i="5"/>
  <c r="G19"/>
  <c r="G21" s="1"/>
  <c r="F10"/>
  <c r="F9"/>
  <c r="Z27" i="2"/>
  <c r="I9"/>
  <c r="H60" i="4"/>
  <c r="H48" s="1"/>
  <c r="G60"/>
  <c r="G48" s="1"/>
  <c r="F60"/>
  <c r="F48" s="1"/>
  <c r="F44"/>
  <c r="F45" s="1"/>
  <c r="F46" s="1"/>
  <c r="E47"/>
  <c r="E44"/>
  <c r="E45" s="1"/>
  <c r="E46" s="1"/>
  <c r="E49" s="1"/>
  <c r="G47"/>
  <c r="E30"/>
  <c r="E32" s="1"/>
  <c r="E13" s="1"/>
  <c r="E22"/>
  <c r="F21" s="1"/>
  <c r="F8" s="1"/>
  <c r="F12" s="1"/>
  <c r="E8"/>
  <c r="F6" i="1"/>
  <c r="G6"/>
  <c r="H4"/>
  <c r="E20"/>
  <c r="F19" s="1"/>
  <c r="E7"/>
  <c r="S5" i="13" l="1"/>
  <c r="G8"/>
  <c r="G9" s="1"/>
  <c r="G12" s="1"/>
  <c r="Q32" i="11"/>
  <c r="F34"/>
  <c r="F35" s="1"/>
  <c r="F36" s="1"/>
  <c r="F51" s="1"/>
  <c r="R42"/>
  <c r="E44"/>
  <c r="E45" s="1"/>
  <c r="E46" s="1"/>
  <c r="E52" s="1"/>
  <c r="E53" s="1"/>
  <c r="R14"/>
  <c r="R15"/>
  <c r="E16"/>
  <c r="E17" s="1"/>
  <c r="E18" s="1"/>
  <c r="E24" s="1"/>
  <c r="E25" s="1"/>
  <c r="R4"/>
  <c r="R5" s="1"/>
  <c r="G6"/>
  <c r="G7"/>
  <c r="G8" s="1"/>
  <c r="G23" s="1"/>
  <c r="Q16" i="10"/>
  <c r="D15"/>
  <c r="D16" s="1"/>
  <c r="D17" s="1"/>
  <c r="D18" s="1"/>
  <c r="D25" s="1"/>
  <c r="Q15"/>
  <c r="Q4"/>
  <c r="F6"/>
  <c r="F7" s="1"/>
  <c r="F8" s="1"/>
  <c r="F23" s="1"/>
  <c r="Q6" i="8"/>
  <c r="G4"/>
  <c r="G5" s="1"/>
  <c r="G6" s="1"/>
  <c r="G7" s="1"/>
  <c r="G8" s="1"/>
  <c r="G23" s="1"/>
  <c r="Q16"/>
  <c r="D14"/>
  <c r="D15" s="1"/>
  <c r="D16" s="1"/>
  <c r="D17" s="1"/>
  <c r="D18" s="1"/>
  <c r="D24" s="1"/>
  <c r="D25" s="1"/>
  <c r="Q15"/>
  <c r="R14"/>
  <c r="Q5"/>
  <c r="G20" i="5"/>
  <c r="G8"/>
  <c r="F49" i="4"/>
  <c r="G44"/>
  <c r="F9"/>
  <c r="E12"/>
  <c r="E9"/>
  <c r="F22"/>
  <c r="G21" s="1"/>
  <c r="G8" s="1"/>
  <c r="G12" s="1"/>
  <c r="G7"/>
  <c r="F20" i="1"/>
  <c r="G19" s="1"/>
  <c r="F7"/>
  <c r="H6"/>
  <c r="I4"/>
  <c r="E8"/>
  <c r="E9" s="1"/>
  <c r="E10" s="1"/>
  <c r="E11"/>
  <c r="G18" i="13" l="1"/>
  <c r="G20" s="1"/>
  <c r="G26"/>
  <c r="G28" s="1"/>
  <c r="S7"/>
  <c r="H5"/>
  <c r="H6" s="1"/>
  <c r="H7" s="1"/>
  <c r="S6"/>
  <c r="G32" i="11"/>
  <c r="G33" s="1"/>
  <c r="Q34"/>
  <c r="Q33"/>
  <c r="F42"/>
  <c r="F43" s="1"/>
  <c r="R44"/>
  <c r="R43"/>
  <c r="S4"/>
  <c r="S14"/>
  <c r="R16"/>
  <c r="F14"/>
  <c r="F15" s="1"/>
  <c r="R6"/>
  <c r="H4"/>
  <c r="H5" s="1"/>
  <c r="R14" i="10"/>
  <c r="R15"/>
  <c r="Q6"/>
  <c r="G4"/>
  <c r="G5" s="1"/>
  <c r="Q5"/>
  <c r="R16" i="8"/>
  <c r="E14"/>
  <c r="E15" s="1"/>
  <c r="E16" s="1"/>
  <c r="E17" s="1"/>
  <c r="E18" s="1"/>
  <c r="E24" s="1"/>
  <c r="E25" s="1"/>
  <c r="R15"/>
  <c r="R4"/>
  <c r="H19" i="5"/>
  <c r="H21" s="1"/>
  <c r="G10"/>
  <c r="G9"/>
  <c r="G45" i="4"/>
  <c r="G46" s="1"/>
  <c r="G49" s="1"/>
  <c r="G9"/>
  <c r="F30"/>
  <c r="G30"/>
  <c r="E10"/>
  <c r="E11" s="1"/>
  <c r="E14" s="1"/>
  <c r="F10"/>
  <c r="F11" s="1"/>
  <c r="G22"/>
  <c r="H21"/>
  <c r="H8" s="1"/>
  <c r="H12" s="1"/>
  <c r="H7"/>
  <c r="G10"/>
  <c r="G11" s="1"/>
  <c r="E12" i="1"/>
  <c r="J4"/>
  <c r="J6" s="1"/>
  <c r="I6"/>
  <c r="F11"/>
  <c r="F8"/>
  <c r="F9" s="1"/>
  <c r="F10" s="1"/>
  <c r="G20"/>
  <c r="G7"/>
  <c r="T5" i="13" l="1"/>
  <c r="T6" s="1"/>
  <c r="H8"/>
  <c r="H9" s="1"/>
  <c r="H12" s="1"/>
  <c r="G34" i="11"/>
  <c r="G35"/>
  <c r="G36" s="1"/>
  <c r="G51" s="1"/>
  <c r="S42"/>
  <c r="F44"/>
  <c r="F45" s="1"/>
  <c r="F46" s="1"/>
  <c r="F52" s="1"/>
  <c r="F53" s="1"/>
  <c r="R32"/>
  <c r="F16"/>
  <c r="F17" s="1"/>
  <c r="F18" s="1"/>
  <c r="F24" s="1"/>
  <c r="F25" s="1"/>
  <c r="G14"/>
  <c r="G15" s="1"/>
  <c r="S16"/>
  <c r="S15"/>
  <c r="S6"/>
  <c r="I4"/>
  <c r="I5" s="1"/>
  <c r="H6"/>
  <c r="H7" s="1"/>
  <c r="H8" s="1"/>
  <c r="H23" s="1"/>
  <c r="S5"/>
  <c r="S14" i="10"/>
  <c r="S15"/>
  <c r="E15"/>
  <c r="E16" s="1"/>
  <c r="E17" s="1"/>
  <c r="E18" s="1"/>
  <c r="E24" s="1"/>
  <c r="E25" s="1"/>
  <c r="R16"/>
  <c r="R4"/>
  <c r="G6"/>
  <c r="G7" s="1"/>
  <c r="G8" s="1"/>
  <c r="G23" s="1"/>
  <c r="R6" i="8"/>
  <c r="H4"/>
  <c r="H5" s="1"/>
  <c r="H6" s="1"/>
  <c r="H7" s="1"/>
  <c r="H8" s="1"/>
  <c r="H23" s="1"/>
  <c r="S14"/>
  <c r="R5"/>
  <c r="H20" i="5"/>
  <c r="H8"/>
  <c r="H47" i="4"/>
  <c r="H44"/>
  <c r="F32"/>
  <c r="F13" s="1"/>
  <c r="F14" s="1"/>
  <c r="G32"/>
  <c r="G13" s="1"/>
  <c r="G14" s="1"/>
  <c r="H30"/>
  <c r="H32" s="1"/>
  <c r="H13" s="1"/>
  <c r="H9"/>
  <c r="H10" s="1"/>
  <c r="H11" s="1"/>
  <c r="H22"/>
  <c r="G11" i="1"/>
  <c r="G8"/>
  <c r="G9" s="1"/>
  <c r="G10" s="1"/>
  <c r="G12" s="1"/>
  <c r="H19"/>
  <c r="H7" s="1"/>
  <c r="H20"/>
  <c r="F12"/>
  <c r="H18" i="13" l="1"/>
  <c r="H20" s="1"/>
  <c r="H26"/>
  <c r="H28" s="1"/>
  <c r="T7"/>
  <c r="I5"/>
  <c r="I6" s="1"/>
  <c r="I7" s="1"/>
  <c r="G42" i="11"/>
  <c r="G43" s="1"/>
  <c r="S44"/>
  <c r="S43"/>
  <c r="R34"/>
  <c r="H32"/>
  <c r="H33" s="1"/>
  <c r="R33"/>
  <c r="G16"/>
  <c r="G17" s="1"/>
  <c r="G18" s="1"/>
  <c r="G24" s="1"/>
  <c r="G25" s="1"/>
  <c r="I6"/>
  <c r="I7" s="1"/>
  <c r="I8" s="1"/>
  <c r="I23" s="1"/>
  <c r="T14"/>
  <c r="T15" s="1"/>
  <c r="T14" i="10"/>
  <c r="T15"/>
  <c r="S16"/>
  <c r="F15"/>
  <c r="F16" s="1"/>
  <c r="F17" s="1"/>
  <c r="F18" s="1"/>
  <c r="F24" s="1"/>
  <c r="F25" s="1"/>
  <c r="R6"/>
  <c r="H4"/>
  <c r="H5" s="1"/>
  <c r="R5"/>
  <c r="S16" i="8"/>
  <c r="F14"/>
  <c r="F15" s="1"/>
  <c r="F16" s="1"/>
  <c r="F17" s="1"/>
  <c r="F18" s="1"/>
  <c r="F24" s="1"/>
  <c r="F25" s="1"/>
  <c r="S15"/>
  <c r="S4"/>
  <c r="I19" i="5"/>
  <c r="I21" s="1"/>
  <c r="H10"/>
  <c r="H9"/>
  <c r="H14" i="4"/>
  <c r="H45"/>
  <c r="H46" s="1"/>
  <c r="H49" s="1"/>
  <c r="I19" i="1"/>
  <c r="I7" s="1"/>
  <c r="I20"/>
  <c r="H11"/>
  <c r="H8"/>
  <c r="H9" s="1"/>
  <c r="H10" s="1"/>
  <c r="H12" s="1"/>
  <c r="I8" i="13" l="1"/>
  <c r="I9" s="1"/>
  <c r="I12" s="1"/>
  <c r="T42" i="11"/>
  <c r="T43"/>
  <c r="G44"/>
  <c r="G45" s="1"/>
  <c r="G46" s="1"/>
  <c r="G52" s="1"/>
  <c r="G53" s="1"/>
  <c r="S32"/>
  <c r="H34"/>
  <c r="H35" s="1"/>
  <c r="H36" s="1"/>
  <c r="H51" s="1"/>
  <c r="U14"/>
  <c r="U16" s="1"/>
  <c r="U15"/>
  <c r="H14"/>
  <c r="H15" s="1"/>
  <c r="T16"/>
  <c r="U14" i="10"/>
  <c r="U15"/>
  <c r="T16"/>
  <c r="G15"/>
  <c r="G16" s="1"/>
  <c r="G17" s="1"/>
  <c r="G18" s="1"/>
  <c r="G24" s="1"/>
  <c r="G25" s="1"/>
  <c r="H6"/>
  <c r="H7" s="1"/>
  <c r="H8" s="1"/>
  <c r="H23" s="1"/>
  <c r="S4"/>
  <c r="S6" i="8"/>
  <c r="I4"/>
  <c r="I5" s="1"/>
  <c r="I6" s="1"/>
  <c r="I7" s="1"/>
  <c r="I8" s="1"/>
  <c r="I23" s="1"/>
  <c r="T14"/>
  <c r="S5"/>
  <c r="I20" i="5"/>
  <c r="I8"/>
  <c r="J19" i="1"/>
  <c r="J7" s="1"/>
  <c r="I11"/>
  <c r="I8"/>
  <c r="I26" i="13" l="1"/>
  <c r="I28" s="1"/>
  <c r="C29" s="1"/>
  <c r="I18"/>
  <c r="I20" s="1"/>
  <c r="C21" s="1"/>
  <c r="U42" i="11"/>
  <c r="U44" s="1"/>
  <c r="T44"/>
  <c r="H42"/>
  <c r="H43" s="1"/>
  <c r="S34"/>
  <c r="I32"/>
  <c r="I33" s="1"/>
  <c r="S33"/>
  <c r="H16"/>
  <c r="H17" s="1"/>
  <c r="H18" s="1"/>
  <c r="H24" s="1"/>
  <c r="H25" s="1"/>
  <c r="V14"/>
  <c r="V14" i="10"/>
  <c r="V15"/>
  <c r="U16"/>
  <c r="H15"/>
  <c r="H16" s="1"/>
  <c r="H17" s="1"/>
  <c r="H18" s="1"/>
  <c r="H24" s="1"/>
  <c r="H25" s="1"/>
  <c r="I4"/>
  <c r="I5" s="1"/>
  <c r="S6"/>
  <c r="S5"/>
  <c r="T16" i="8"/>
  <c r="G14"/>
  <c r="G15" s="1"/>
  <c r="G16" s="1"/>
  <c r="G17" s="1"/>
  <c r="G18" s="1"/>
  <c r="G24" s="1"/>
  <c r="G25" s="1"/>
  <c r="T15"/>
  <c r="J19" i="5"/>
  <c r="J21" s="1"/>
  <c r="D23" s="1"/>
  <c r="I10"/>
  <c r="I9"/>
  <c r="J11" i="1"/>
  <c r="J8"/>
  <c r="J20"/>
  <c r="I9"/>
  <c r="I10" s="1"/>
  <c r="I12" s="1"/>
  <c r="U43" i="11" l="1"/>
  <c r="V42"/>
  <c r="V43"/>
  <c r="I34"/>
  <c r="I35" s="1"/>
  <c r="I36" s="1"/>
  <c r="I51" s="1"/>
  <c r="H44"/>
  <c r="H45" s="1"/>
  <c r="H46" s="1"/>
  <c r="H52" s="1"/>
  <c r="H53" s="1"/>
  <c r="V16"/>
  <c r="I14"/>
  <c r="I15" s="1"/>
  <c r="V15"/>
  <c r="V16" i="10"/>
  <c r="I14"/>
  <c r="I15" s="1"/>
  <c r="I16" s="1"/>
  <c r="I17" s="1"/>
  <c r="I18" s="1"/>
  <c r="I24" s="1"/>
  <c r="I6"/>
  <c r="I7"/>
  <c r="I8" s="1"/>
  <c r="I23" s="1"/>
  <c r="U14" i="8"/>
  <c r="J20" i="5"/>
  <c r="J8"/>
  <c r="J9" i="1"/>
  <c r="J10"/>
  <c r="J12" s="1"/>
  <c r="D24" s="1"/>
  <c r="V44" i="11" l="1"/>
  <c r="I42"/>
  <c r="I43" s="1"/>
  <c r="I16"/>
  <c r="I17"/>
  <c r="I18" s="1"/>
  <c r="I24" s="1"/>
  <c r="I25" s="1"/>
  <c r="I25" i="10"/>
  <c r="U16" i="8"/>
  <c r="H14"/>
  <c r="H15" s="1"/>
  <c r="H16" s="1"/>
  <c r="H17" s="1"/>
  <c r="H18" s="1"/>
  <c r="H24" s="1"/>
  <c r="H25" s="1"/>
  <c r="U15"/>
  <c r="J10" i="5"/>
  <c r="D12" s="1"/>
  <c r="J9"/>
  <c r="D25" i="1"/>
  <c r="I44" i="11" l="1"/>
  <c r="I45" s="1"/>
  <c r="I46" s="1"/>
  <c r="I52" s="1"/>
  <c r="I53" s="1"/>
  <c r="V14" i="8"/>
  <c r="V15"/>
  <c r="I14" l="1"/>
  <c r="I15" s="1"/>
  <c r="I16" s="1"/>
  <c r="I17" s="1"/>
  <c r="I18" s="1"/>
  <c r="I24" s="1"/>
  <c r="I25" s="1"/>
  <c r="V16"/>
  <c r="M18" i="2"/>
</calcChain>
</file>

<file path=xl/sharedStrings.xml><?xml version="1.0" encoding="utf-8"?>
<sst xmlns="http://schemas.openxmlformats.org/spreadsheetml/2006/main" count="346" uniqueCount="135">
  <si>
    <t>EBDT</t>
  </si>
  <si>
    <t>Depreciation</t>
  </si>
  <si>
    <t>EBT</t>
  </si>
  <si>
    <t>EAT</t>
  </si>
  <si>
    <t>Total Cash Flow</t>
  </si>
  <si>
    <t>Depreciation calculation</t>
  </si>
  <si>
    <t>Less Depreciation</t>
  </si>
  <si>
    <t>Year</t>
  </si>
  <si>
    <t>($million)</t>
  </si>
  <si>
    <t>Initial investment</t>
  </si>
  <si>
    <t>Revenue (+5%/yr)</t>
  </si>
  <si>
    <t>Expenses (+4%/yr)</t>
  </si>
  <si>
    <t>Add Back Depreciation</t>
  </si>
  <si>
    <t>Annual Rate of Depreciation (1/5*200%)</t>
  </si>
  <si>
    <t xml:space="preserve">Depreciation </t>
  </si>
  <si>
    <t>Adjusted Tax Value</t>
  </si>
  <si>
    <t>Less Tax (30%) - assuming losses accrue tax credits worth 30%</t>
  </si>
  <si>
    <t>ST10-1 (a)</t>
  </si>
  <si>
    <t>ST10-1 (b)</t>
  </si>
  <si>
    <t>NPV at 13%</t>
  </si>
  <si>
    <t>IRR</t>
  </si>
  <si>
    <t>ST10-2 (a)</t>
  </si>
  <si>
    <t>NEW MACHINE</t>
  </si>
  <si>
    <t xml:space="preserve">Revenue </t>
  </si>
  <si>
    <t xml:space="preserve">Expenses </t>
  </si>
  <si>
    <t>Annual Rate of Depreciation (1/3*200%)</t>
  </si>
  <si>
    <t>Depreciation calculation (New Machine)</t>
  </si>
  <si>
    <t>Effective Asset Life 5 Years</t>
  </si>
  <si>
    <t>Effective Asset Life 3 Years</t>
  </si>
  <si>
    <t>Working Capial Investment calculation (New Machine)</t>
  </si>
  <si>
    <t>Cash</t>
  </si>
  <si>
    <t>Accounts Receivable</t>
  </si>
  <si>
    <t>Inventory</t>
  </si>
  <si>
    <t>Accounts Payable</t>
  </si>
  <si>
    <t>Net Working Capital Investment</t>
  </si>
  <si>
    <t xml:space="preserve">Net Working Capital </t>
  </si>
  <si>
    <t>Net Working Capital  = (Cash + Accounts Receivable + Inventory - Accounts Payable)</t>
  </si>
  <si>
    <t>Net Working Capital Investment = Net Working Capital - Previous year's Net Working Capital</t>
  </si>
  <si>
    <t>OLD MACHINE</t>
  </si>
  <si>
    <t>Less Working Capital Investment</t>
  </si>
  <si>
    <t>Working Capial Investment calculation (Old Machine)</t>
  </si>
  <si>
    <t>Sale Proceeds (if sold)</t>
  </si>
  <si>
    <t>Cashflows if the old machine is not sold</t>
  </si>
  <si>
    <t>Total Operating Cash Flow</t>
  </si>
  <si>
    <t xml:space="preserve">Incremental Cash Flows </t>
  </si>
  <si>
    <t>Incremental Cash Flows = (Difference between New Machine and Old Machine Cash Flows) + Proceeds from Sale of Old Machine</t>
  </si>
  <si>
    <t>Cashflows (Initial, Operating and Terminal) ($)</t>
  </si>
  <si>
    <t>NPV at 15%</t>
  </si>
  <si>
    <t>Total</t>
  </si>
  <si>
    <t>PV of Depreciation Tax Saving</t>
  </si>
  <si>
    <t>Discount Rate</t>
  </si>
  <si>
    <t>Asset Life</t>
  </si>
  <si>
    <t>Asset Price</t>
  </si>
  <si>
    <t>P10-1 (a)</t>
  </si>
  <si>
    <t>Depreciation Tax Saving (30% tax rate)</t>
  </si>
  <si>
    <t>P10-1 (b)</t>
  </si>
  <si>
    <t>P10-2</t>
  </si>
  <si>
    <t>million</t>
  </si>
  <si>
    <t xml:space="preserve">Adjusted Tax Value </t>
  </si>
  <si>
    <t xml:space="preserve">Depreciation Expense </t>
  </si>
  <si>
    <t>Depreciation calculation: $32 million cost depreciated over 5 years</t>
  </si>
  <si>
    <t>Depreciation calculation: $32 million cost and $2million installation depreciated over 5 years</t>
  </si>
  <si>
    <t>PV of tax expense of installation cost (expensed fully in Year 0)</t>
  </si>
  <si>
    <t>NPV  of depreciation tax savings on the equipment cost at 12%</t>
  </si>
  <si>
    <t>Total NPV  of depreciation tax savings (on equipment and installation) at 12%</t>
  </si>
  <si>
    <t xml:space="preserve">Total NPV  of depreciation tax savings (on equipment and installation) </t>
  </si>
  <si>
    <t>PV of deducting installation costs up-front, rather than depreciating these over the life of the asset:</t>
  </si>
  <si>
    <t>Year:</t>
  </si>
  <si>
    <t>Sales</t>
  </si>
  <si>
    <t>– Expenses (35%)</t>
  </si>
  <si>
    <t>– Depreciation</t>
  </si>
  <si>
    <t>Taxable income</t>
  </si>
  <si>
    <t>Earnings</t>
  </si>
  <si>
    <t>Incremental op. CFs</t>
  </si>
  <si>
    <t>(Earn + Depr)</t>
  </si>
  <si>
    <t>P10-3</t>
  </si>
  <si>
    <t>Depreciation - 5 years, prime cost method, installed cost $4,000,00:</t>
  </si>
  <si>
    <t>Annual depreciation:</t>
  </si>
  <si>
    <t>– Taxes (30%)</t>
  </si>
  <si>
    <t>Reduced expenses</t>
  </si>
  <si>
    <t xml:space="preserve"> </t>
  </si>
  <si>
    <t xml:space="preserve">Incremental op. CFs </t>
  </si>
  <si>
    <t>P10-4</t>
  </si>
  <si>
    <t>Annual depreciation expense:</t>
  </si>
  <si>
    <t>$72,000/5 years</t>
  </si>
  <si>
    <t>New Machine</t>
  </si>
  <si>
    <t xml:space="preserve">– Expenses </t>
  </si>
  <si>
    <t>Operating CFs (Earn + Depr)</t>
  </si>
  <si>
    <t xml:space="preserve">Old Machine </t>
  </si>
  <si>
    <t>– Old Machine</t>
  </si>
  <si>
    <t>Difference</t>
  </si>
  <si>
    <t>Incremental operating cash flows</t>
  </si>
  <si>
    <t>Change in sales</t>
  </si>
  <si>
    <t>– Change in expenses (90%)</t>
  </si>
  <si>
    <t>– Advertising expense</t>
  </si>
  <si>
    <t>Change in taxable income</t>
  </si>
  <si>
    <t>P10-6</t>
  </si>
  <si>
    <t>3 years of depreciation have already been taken on the old oven</t>
  </si>
  <si>
    <t>Book value of old machine if sold for $22,000 with 3 years depreciation:</t>
  </si>
  <si>
    <t>P10-12 b)</t>
  </si>
  <si>
    <t>Profits</t>
  </si>
  <si>
    <t>Book value of old machine if sold for $140,000 with 2 years depreciation:</t>
  </si>
  <si>
    <t>2 years of depreciation have already been taken on the old machine</t>
  </si>
  <si>
    <t>2 years of depreciation have already been taken on the old ship</t>
  </si>
  <si>
    <t xml:space="preserve">Old Ship </t>
  </si>
  <si>
    <t>New Ship A</t>
  </si>
  <si>
    <t>– Old Ship</t>
  </si>
  <si>
    <t>P10-12 d)</t>
  </si>
  <si>
    <t>New Ship B</t>
  </si>
  <si>
    <t>Book value of old machine if sold for $18,000,000 with 2 years depreciation:</t>
  </si>
  <si>
    <t>Cost of Cap</t>
  </si>
  <si>
    <t>NPV</t>
  </si>
  <si>
    <t>MiniCase</t>
  </si>
  <si>
    <t>Revenues</t>
  </si>
  <si>
    <t>– Operating Costs</t>
  </si>
  <si>
    <t>– Taxes (32%)</t>
  </si>
  <si>
    <t>Net Cash Flow</t>
  </si>
  <si>
    <t>Initial cash flow (excluding change in NWC)</t>
  </si>
  <si>
    <t>Cash Flows</t>
  </si>
  <si>
    <t>Terminal Value</t>
  </si>
  <si>
    <t>Total Project Value</t>
  </si>
  <si>
    <t>Answer to 10. NPV</t>
  </si>
  <si>
    <t>Answer to 5. Depreciation costs</t>
  </si>
  <si>
    <t>Answer to 6. Cash flows</t>
  </si>
  <si>
    <t xml:space="preserve">P10-13 </t>
  </si>
  <si>
    <t>ST10-2 (d)</t>
  </si>
  <si>
    <t>ST10-2 (c)</t>
  </si>
  <si>
    <t>P10-1 (c)</t>
  </si>
  <si>
    <t>(c)</t>
  </si>
  <si>
    <t>(b)</t>
  </si>
  <si>
    <t>P10-10 (b)</t>
  </si>
  <si>
    <t>P10-11 (b)</t>
  </si>
  <si>
    <t>P10-11 (d)</t>
  </si>
  <si>
    <t>P10-12 (b)</t>
  </si>
  <si>
    <t>P10-12 (d)</t>
  </si>
</sst>
</file>

<file path=xl/styles.xml><?xml version="1.0" encoding="utf-8"?>
<styleSheet xmlns="http://schemas.openxmlformats.org/spreadsheetml/2006/main">
  <numFmts count="8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$-C09]* #,##0_-;\-[$$-C09]* #,##0_-;_-[$$-C09]* &quot;-&quot;??_-;_-@_-"/>
    <numFmt numFmtId="166" formatCode="#,##0_ ;\-#,##0\ "/>
    <numFmt numFmtId="167" formatCode="_-&quot;$&quot;* #,##0_-;\-&quot;$&quot;* #,##0_-;_-&quot;$&quot;* &quot;-&quot;??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u val="double"/>
      <sz val="11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rgb="FF000000"/>
      <name val="Calibri"/>
      <family val="2"/>
      <scheme val="minor"/>
    </font>
    <font>
      <u val="double"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u val="double"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6">
    <xf numFmtId="0" fontId="0" fillId="0" borderId="0" xfId="0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9" fontId="0" fillId="0" borderId="0" xfId="2" applyFont="1"/>
    <xf numFmtId="8" fontId="0" fillId="0" borderId="0" xfId="0" applyNumberFormat="1"/>
    <xf numFmtId="9" fontId="0" fillId="0" borderId="0" xfId="0" applyNumberFormat="1"/>
    <xf numFmtId="164" fontId="0" fillId="0" borderId="0" xfId="1" applyNumberFormat="1" applyFont="1"/>
    <xf numFmtId="164" fontId="2" fillId="0" borderId="0" xfId="1" applyNumberFormat="1" applyFont="1"/>
    <xf numFmtId="0" fontId="3" fillId="0" borderId="0" xfId="0" applyFont="1"/>
    <xf numFmtId="164" fontId="0" fillId="0" borderId="0" xfId="1" applyNumberFormat="1" applyFont="1" applyFill="1"/>
    <xf numFmtId="10" fontId="0" fillId="0" borderId="0" xfId="0" applyNumberFormat="1"/>
    <xf numFmtId="6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166" fontId="2" fillId="0" borderId="0" xfId="0" applyNumberFormat="1" applyFont="1"/>
    <xf numFmtId="0" fontId="4" fillId="0" borderId="0" xfId="0" applyFont="1"/>
    <xf numFmtId="44" fontId="0" fillId="0" borderId="0" xfId="3" applyFont="1"/>
    <xf numFmtId="8" fontId="2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6" fontId="6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3" fontId="7" fillId="0" borderId="0" xfId="0" applyNumberFormat="1" applyFont="1" applyAlignment="1">
      <alignment horizontal="right" vertical="center" wrapText="1"/>
    </xf>
    <xf numFmtId="6" fontId="7" fillId="0" borderId="0" xfId="0" applyNumberFormat="1" applyFont="1" applyAlignment="1">
      <alignment horizontal="right" vertical="center" wrapText="1"/>
    </xf>
    <xf numFmtId="167" fontId="0" fillId="0" borderId="0" xfId="3" applyNumberFormat="1" applyFont="1"/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2" fillId="4" borderId="0" xfId="0" applyFont="1" applyFill="1"/>
    <xf numFmtId="9" fontId="0" fillId="4" borderId="0" xfId="2" applyFont="1" applyFill="1"/>
    <xf numFmtId="0" fontId="0" fillId="0" borderId="0" xfId="0" applyFill="1" applyAlignment="1">
      <alignment wrapText="1"/>
    </xf>
    <xf numFmtId="0" fontId="0" fillId="0" borderId="0" xfId="0" applyFont="1"/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6" fontId="10" fillId="0" borderId="0" xfId="0" applyNumberFormat="1" applyFont="1" applyAlignment="1">
      <alignment horizontal="right" vertical="center" wrapText="1"/>
    </xf>
    <xf numFmtId="3" fontId="10" fillId="0" borderId="0" xfId="0" applyNumberFormat="1" applyFont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6" fontId="11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6" fontId="14" fillId="0" borderId="0" xfId="0" applyNumberFormat="1" applyFont="1" applyAlignment="1">
      <alignment horizontal="right" vertical="center" wrapText="1"/>
    </xf>
    <xf numFmtId="3" fontId="15" fillId="0" borderId="0" xfId="0" applyNumberFormat="1" applyFont="1" applyAlignment="1">
      <alignment horizontal="right" vertical="center" wrapText="1"/>
    </xf>
    <xf numFmtId="6" fontId="16" fillId="0" borderId="0" xfId="0" applyNumberFormat="1" applyFont="1" applyAlignment="1">
      <alignment horizontal="right" vertical="center" wrapText="1"/>
    </xf>
    <xf numFmtId="0" fontId="0" fillId="4" borderId="0" xfId="0" applyFont="1" applyFill="1"/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3" fontId="11" fillId="3" borderId="0" xfId="0" applyNumberFormat="1" applyFont="1" applyFill="1" applyAlignment="1">
      <alignment horizontal="right" vertical="center" wrapText="1"/>
    </xf>
    <xf numFmtId="6" fontId="12" fillId="0" borderId="0" xfId="0" applyNumberFormat="1" applyFont="1" applyAlignment="1">
      <alignment horizontal="right" vertical="center" wrapText="1"/>
    </xf>
    <xf numFmtId="6" fontId="10" fillId="4" borderId="0" xfId="0" applyNumberFormat="1" applyFont="1" applyFill="1" applyAlignment="1">
      <alignment horizontal="right" vertical="center" wrapText="1"/>
    </xf>
    <xf numFmtId="6" fontId="9" fillId="4" borderId="0" xfId="0" applyNumberFormat="1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6" fontId="10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6" fontId="12" fillId="0" borderId="0" xfId="0" applyNumberFormat="1" applyFont="1" applyAlignment="1">
      <alignment horizontal="center" vertical="center" wrapText="1"/>
    </xf>
    <xf numFmtId="6" fontId="9" fillId="0" borderId="0" xfId="0" applyNumberFormat="1" applyFont="1" applyAlignment="1">
      <alignment horizontal="right" vertical="center" wrapText="1"/>
    </xf>
    <xf numFmtId="0" fontId="0" fillId="0" borderId="0" xfId="0" applyFont="1" applyFill="1" applyAlignment="1">
      <alignment wrapText="1"/>
    </xf>
    <xf numFmtId="0" fontId="10" fillId="0" borderId="0" xfId="0" applyFont="1" applyAlignment="1">
      <alignment vertical="center"/>
    </xf>
    <xf numFmtId="9" fontId="1" fillId="0" borderId="0" xfId="2" applyFont="1"/>
    <xf numFmtId="0" fontId="1" fillId="0" borderId="0" xfId="0" applyFont="1"/>
    <xf numFmtId="44" fontId="1" fillId="0" borderId="0" xfId="3" applyFont="1"/>
    <xf numFmtId="44" fontId="10" fillId="0" borderId="0" xfId="3" applyFont="1" applyAlignment="1">
      <alignment horizontal="right" vertical="center" wrapText="1"/>
    </xf>
    <xf numFmtId="0" fontId="2" fillId="0" borderId="0" xfId="0" applyFont="1" applyFill="1" applyAlignment="1">
      <alignment wrapText="1"/>
    </xf>
    <xf numFmtId="0" fontId="0" fillId="2" borderId="0" xfId="0" applyFont="1" applyFill="1"/>
    <xf numFmtId="8" fontId="0" fillId="0" borderId="0" xfId="0" applyNumberFormat="1" applyFont="1"/>
    <xf numFmtId="0" fontId="9" fillId="0" borderId="0" xfId="0" applyFont="1" applyBorder="1" applyAlignment="1">
      <alignment horizontal="center" vertical="center" wrapText="1"/>
    </xf>
    <xf numFmtId="8" fontId="10" fillId="0" borderId="0" xfId="0" applyNumberFormat="1" applyFont="1" applyAlignment="1">
      <alignment horizontal="right" vertical="center" wrapText="1"/>
    </xf>
    <xf numFmtId="8" fontId="11" fillId="3" borderId="0" xfId="0" applyNumberFormat="1" applyFont="1" applyFill="1" applyAlignment="1">
      <alignment horizontal="right" vertical="center" wrapText="1"/>
    </xf>
    <xf numFmtId="8" fontId="11" fillId="0" borderId="0" xfId="0" applyNumberFormat="1" applyFont="1" applyAlignment="1">
      <alignment horizontal="right" vertical="center" wrapText="1"/>
    </xf>
    <xf numFmtId="8" fontId="12" fillId="0" borderId="0" xfId="0" applyNumberFormat="1" applyFont="1" applyAlignment="1">
      <alignment horizontal="right" vertical="center" wrapText="1"/>
    </xf>
    <xf numFmtId="6" fontId="8" fillId="0" borderId="0" xfId="0" applyNumberFormat="1" applyFont="1" applyAlignment="1">
      <alignment horizontal="right" vertical="center" wrapText="1"/>
    </xf>
    <xf numFmtId="6" fontId="12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0" fontId="17" fillId="3" borderId="0" xfId="0" applyFont="1" applyFill="1" applyAlignment="1">
      <alignment wrapText="1"/>
    </xf>
    <xf numFmtId="0" fontId="9" fillId="3" borderId="0" xfId="0" applyFont="1" applyFill="1" applyBorder="1" applyAlignment="1">
      <alignment horizontal="left" vertical="center"/>
    </xf>
    <xf numFmtId="0" fontId="0" fillId="3" borderId="0" xfId="0" applyFont="1" applyFill="1" applyAlignment="1"/>
    <xf numFmtId="0" fontId="0" fillId="3" borderId="0" xfId="0" applyFont="1" applyFill="1"/>
    <xf numFmtId="0" fontId="9" fillId="3" borderId="0" xfId="0" applyFont="1" applyFill="1" applyBorder="1" applyAlignment="1">
      <alignment horizontal="center" vertical="center" wrapText="1"/>
    </xf>
    <xf numFmtId="0" fontId="0" fillId="0" borderId="0" xfId="0" applyFont="1" applyFill="1"/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B26" sqref="B26"/>
    </sheetView>
  </sheetViews>
  <sheetFormatPr defaultRowHeight="15"/>
  <cols>
    <col min="2" max="2" width="51.5703125" bestFit="1" customWidth="1"/>
    <col min="3" max="3" width="4.42578125" customWidth="1"/>
  </cols>
  <sheetData>
    <row r="1" spans="1:11" s="2" customFormat="1">
      <c r="A1" s="78" t="s">
        <v>17</v>
      </c>
      <c r="G1" s="2" t="s">
        <v>8</v>
      </c>
    </row>
    <row r="2" spans="1:11" s="2" customFormat="1">
      <c r="B2" s="2" t="s">
        <v>7</v>
      </c>
      <c r="D2" s="2">
        <v>0</v>
      </c>
      <c r="E2" s="2">
        <v>1</v>
      </c>
      <c r="F2" s="2">
        <v>2</v>
      </c>
      <c r="G2" s="2">
        <v>3</v>
      </c>
      <c r="H2" s="2">
        <v>4</v>
      </c>
      <c r="I2" s="2">
        <v>5</v>
      </c>
      <c r="J2" s="2">
        <v>6</v>
      </c>
    </row>
    <row r="3" spans="1:11">
      <c r="B3" t="s">
        <v>9</v>
      </c>
      <c r="D3" s="1">
        <v>-10</v>
      </c>
      <c r="E3" s="1"/>
      <c r="F3" s="1"/>
      <c r="G3" s="1"/>
      <c r="H3" s="1"/>
      <c r="I3" s="1"/>
      <c r="J3" s="1"/>
      <c r="K3" s="1"/>
    </row>
    <row r="4" spans="1:11">
      <c r="B4" t="s">
        <v>10</v>
      </c>
      <c r="D4" s="1"/>
      <c r="E4" s="1">
        <v>15.8</v>
      </c>
      <c r="F4" s="1">
        <f>E4*1.05</f>
        <v>16.59</v>
      </c>
      <c r="G4" s="1">
        <f t="shared" ref="G4:J4" si="0">F4*1.05</f>
        <v>17.419499999999999</v>
      </c>
      <c r="H4" s="1">
        <f t="shared" si="0"/>
        <v>18.290475000000001</v>
      </c>
      <c r="I4" s="1">
        <f t="shared" si="0"/>
        <v>19.204998750000001</v>
      </c>
      <c r="J4" s="1">
        <f t="shared" si="0"/>
        <v>20.165248687500004</v>
      </c>
      <c r="K4" s="1"/>
    </row>
    <row r="5" spans="1:11">
      <c r="B5" t="s">
        <v>11</v>
      </c>
      <c r="D5" s="1"/>
      <c r="E5" s="1">
        <v>12.2</v>
      </c>
      <c r="F5" s="1">
        <f>E5*(1.04)</f>
        <v>12.687999999999999</v>
      </c>
      <c r="G5" s="1">
        <f t="shared" ref="G5:J5" si="1">F5*(1.04)</f>
        <v>13.195519999999998</v>
      </c>
      <c r="H5" s="1">
        <f t="shared" si="1"/>
        <v>13.723340799999999</v>
      </c>
      <c r="I5" s="1">
        <f t="shared" si="1"/>
        <v>14.272274432</v>
      </c>
      <c r="J5" s="1">
        <f t="shared" si="1"/>
        <v>14.843165409280001</v>
      </c>
      <c r="K5" s="1"/>
    </row>
    <row r="6" spans="1:11">
      <c r="B6" t="s">
        <v>0</v>
      </c>
      <c r="D6" s="1"/>
      <c r="E6" s="1">
        <f>E4-E5</f>
        <v>3.6000000000000014</v>
      </c>
      <c r="F6" s="1">
        <f t="shared" ref="F6:J6" si="2">F4-F5</f>
        <v>3.902000000000001</v>
      </c>
      <c r="G6" s="1">
        <f t="shared" si="2"/>
        <v>4.223980000000001</v>
      </c>
      <c r="H6" s="1">
        <f t="shared" si="2"/>
        <v>4.5671342000000017</v>
      </c>
      <c r="I6" s="1">
        <f t="shared" si="2"/>
        <v>4.9327243180000018</v>
      </c>
      <c r="J6" s="1">
        <f t="shared" si="2"/>
        <v>5.3220832782200027</v>
      </c>
      <c r="K6" s="1"/>
    </row>
    <row r="7" spans="1:11">
      <c r="B7" t="s">
        <v>6</v>
      </c>
      <c r="D7" s="1"/>
      <c r="E7" s="1">
        <f>E19</f>
        <v>4</v>
      </c>
      <c r="F7" s="1">
        <f t="shared" ref="F7:J7" si="3">F19</f>
        <v>2.4000000000000004</v>
      </c>
      <c r="G7" s="1">
        <f t="shared" si="3"/>
        <v>1.44</v>
      </c>
      <c r="H7" s="1">
        <f t="shared" si="3"/>
        <v>0.86399999999999988</v>
      </c>
      <c r="I7" s="1">
        <f t="shared" si="3"/>
        <v>0.51839999999999997</v>
      </c>
      <c r="J7" s="1">
        <f t="shared" si="3"/>
        <v>0.31103999999999998</v>
      </c>
      <c r="K7" s="1"/>
    </row>
    <row r="8" spans="1:11">
      <c r="B8" t="s">
        <v>2</v>
      </c>
      <c r="D8" s="1"/>
      <c r="E8" s="1">
        <f>E6-E7</f>
        <v>-0.39999999999999858</v>
      </c>
      <c r="F8" s="1">
        <f t="shared" ref="F8:J8" si="4">F6-F7</f>
        <v>1.5020000000000007</v>
      </c>
      <c r="G8" s="1">
        <f t="shared" si="4"/>
        <v>2.783980000000001</v>
      </c>
      <c r="H8" s="1">
        <f t="shared" si="4"/>
        <v>3.7031342000000018</v>
      </c>
      <c r="I8" s="1">
        <f t="shared" si="4"/>
        <v>4.414324318000002</v>
      </c>
      <c r="J8" s="1">
        <f t="shared" si="4"/>
        <v>5.0110432782200025</v>
      </c>
      <c r="K8" s="1"/>
    </row>
    <row r="9" spans="1:11">
      <c r="B9" t="s">
        <v>16</v>
      </c>
      <c r="D9" s="1"/>
      <c r="E9" s="1">
        <f>E8*0.3</f>
        <v>-0.11999999999999957</v>
      </c>
      <c r="F9" s="1">
        <f t="shared" ref="F9:J9" si="5">F8*0.3</f>
        <v>0.45060000000000017</v>
      </c>
      <c r="G9" s="1">
        <f t="shared" si="5"/>
        <v>0.83519400000000033</v>
      </c>
      <c r="H9" s="1">
        <f t="shared" si="5"/>
        <v>1.1109402600000005</v>
      </c>
      <c r="I9" s="1">
        <f t="shared" si="5"/>
        <v>1.3242972954000005</v>
      </c>
      <c r="J9" s="1">
        <f t="shared" si="5"/>
        <v>1.5033129834660006</v>
      </c>
      <c r="K9" s="1"/>
    </row>
    <row r="10" spans="1:11">
      <c r="B10" t="s">
        <v>3</v>
      </c>
      <c r="D10" s="1"/>
      <c r="E10" s="1">
        <f>E8-E9</f>
        <v>-0.27999999999999903</v>
      </c>
      <c r="F10" s="1">
        <f t="shared" ref="F10:J10" si="6">F8-F9</f>
        <v>1.0514000000000006</v>
      </c>
      <c r="G10" s="1">
        <f t="shared" si="6"/>
        <v>1.9487860000000006</v>
      </c>
      <c r="H10" s="1">
        <f t="shared" si="6"/>
        <v>2.5921939400000014</v>
      </c>
      <c r="I10" s="1">
        <f t="shared" si="6"/>
        <v>3.0900270226000015</v>
      </c>
      <c r="J10" s="1">
        <f t="shared" si="6"/>
        <v>3.5077302947540021</v>
      </c>
      <c r="K10" s="1"/>
    </row>
    <row r="11" spans="1:11">
      <c r="B11" t="s">
        <v>12</v>
      </c>
      <c r="D11" s="1"/>
      <c r="E11" s="1">
        <f>E7</f>
        <v>4</v>
      </c>
      <c r="F11" s="1">
        <f t="shared" ref="F11:J11" si="7">F7</f>
        <v>2.4000000000000004</v>
      </c>
      <c r="G11" s="1">
        <f t="shared" si="7"/>
        <v>1.44</v>
      </c>
      <c r="H11" s="1">
        <f t="shared" si="7"/>
        <v>0.86399999999999988</v>
      </c>
      <c r="I11" s="1">
        <f t="shared" si="7"/>
        <v>0.51839999999999997</v>
      </c>
      <c r="J11" s="1">
        <f t="shared" si="7"/>
        <v>0.31103999999999998</v>
      </c>
      <c r="K11" s="1"/>
    </row>
    <row r="12" spans="1:11" s="2" customFormat="1">
      <c r="B12" s="2" t="s">
        <v>4</v>
      </c>
      <c r="D12" s="3">
        <v>-10</v>
      </c>
      <c r="E12" s="3">
        <f>E10+E11</f>
        <v>3.7200000000000011</v>
      </c>
      <c r="F12" s="3">
        <f t="shared" ref="F12:J12" si="8">F10+F11</f>
        <v>3.4514000000000009</v>
      </c>
      <c r="G12" s="3">
        <f t="shared" si="8"/>
        <v>3.3887860000000005</v>
      </c>
      <c r="H12" s="3">
        <f t="shared" si="8"/>
        <v>3.4561939400000012</v>
      </c>
      <c r="I12" s="3">
        <f t="shared" si="8"/>
        <v>3.6084270226000017</v>
      </c>
      <c r="J12" s="3">
        <f t="shared" si="8"/>
        <v>3.8187702947540023</v>
      </c>
      <c r="K12" s="3"/>
    </row>
    <row r="13" spans="1:11" s="2" customFormat="1">
      <c r="D13" s="3"/>
      <c r="E13" s="3"/>
      <c r="F13" s="3"/>
      <c r="G13" s="3"/>
      <c r="H13" s="3"/>
      <c r="I13" s="3"/>
      <c r="J13" s="3"/>
      <c r="K13" s="3"/>
    </row>
    <row r="15" spans="1:11">
      <c r="B15" s="2" t="s">
        <v>5</v>
      </c>
    </row>
    <row r="16" spans="1:11" s="2" customFormat="1">
      <c r="B16" s="2" t="s">
        <v>7</v>
      </c>
      <c r="D16" s="2">
        <v>0</v>
      </c>
      <c r="E16" s="2">
        <v>1</v>
      </c>
      <c r="F16" s="2">
        <v>2</v>
      </c>
      <c r="G16" s="2">
        <v>3</v>
      </c>
      <c r="H16" s="2">
        <v>4</v>
      </c>
      <c r="I16" s="2">
        <v>5</v>
      </c>
      <c r="J16" s="2">
        <v>6</v>
      </c>
    </row>
    <row r="17" spans="1:10">
      <c r="B17" s="2" t="s">
        <v>27</v>
      </c>
    </row>
    <row r="18" spans="1:10">
      <c r="B18" s="2" t="s">
        <v>13</v>
      </c>
      <c r="D18" s="4">
        <f>1/5*2</f>
        <v>0.4</v>
      </c>
      <c r="E18" s="4">
        <f t="shared" ref="E18:J18" si="9">1/5*2</f>
        <v>0.4</v>
      </c>
      <c r="F18" s="4">
        <f t="shared" si="9"/>
        <v>0.4</v>
      </c>
      <c r="G18" s="4">
        <f t="shared" si="9"/>
        <v>0.4</v>
      </c>
      <c r="H18" s="4">
        <f t="shared" si="9"/>
        <v>0.4</v>
      </c>
      <c r="I18" s="4">
        <f t="shared" si="9"/>
        <v>0.4</v>
      </c>
      <c r="J18" s="4">
        <f t="shared" si="9"/>
        <v>0.4</v>
      </c>
    </row>
    <row r="19" spans="1:10">
      <c r="B19" s="2" t="s">
        <v>14</v>
      </c>
      <c r="D19">
        <v>0</v>
      </c>
      <c r="E19">
        <f>E18*D20</f>
        <v>4</v>
      </c>
      <c r="F19">
        <f t="shared" ref="F19:I19" si="10">F18*E20</f>
        <v>2.4000000000000004</v>
      </c>
      <c r="G19">
        <f t="shared" si="10"/>
        <v>1.44</v>
      </c>
      <c r="H19">
        <f t="shared" si="10"/>
        <v>0.86399999999999988</v>
      </c>
      <c r="I19">
        <f t="shared" si="10"/>
        <v>0.51839999999999997</v>
      </c>
      <c r="J19">
        <f>J18*I20</f>
        <v>0.31103999999999998</v>
      </c>
    </row>
    <row r="20" spans="1:10">
      <c r="B20" s="2" t="s">
        <v>15</v>
      </c>
      <c r="D20">
        <v>10</v>
      </c>
      <c r="E20">
        <f>D20-E19</f>
        <v>6</v>
      </c>
      <c r="F20">
        <f t="shared" ref="F20:I20" si="11">E20-F19</f>
        <v>3.5999999999999996</v>
      </c>
      <c r="G20">
        <f t="shared" si="11"/>
        <v>2.1599999999999997</v>
      </c>
      <c r="H20">
        <f t="shared" si="11"/>
        <v>1.2959999999999998</v>
      </c>
      <c r="I20">
        <f t="shared" si="11"/>
        <v>0.77759999999999985</v>
      </c>
      <c r="J20">
        <f>I20-J19</f>
        <v>0.46655999999999986</v>
      </c>
    </row>
    <row r="21" spans="1:10">
      <c r="B21" s="2"/>
    </row>
    <row r="23" spans="1:10">
      <c r="A23" s="78" t="s">
        <v>18</v>
      </c>
    </row>
    <row r="24" spans="1:10">
      <c r="B24" s="2" t="s">
        <v>19</v>
      </c>
      <c r="D24" s="5">
        <f>NPV(0.13,E12:J12)+D12</f>
        <v>4.256070762771488</v>
      </c>
    </row>
    <row r="25" spans="1:10">
      <c r="B25" s="2" t="s">
        <v>20</v>
      </c>
      <c r="D25" s="6">
        <f>IRR(D12:J12)</f>
        <v>0.27243697507516185</v>
      </c>
    </row>
    <row r="26" spans="1:10">
      <c r="D26" s="6"/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54"/>
  <sheetViews>
    <sheetView topLeftCell="A25" zoomScale="75" zoomScaleNormal="75" workbookViewId="0">
      <selection activeCell="A49" sqref="A49"/>
    </sheetView>
  </sheetViews>
  <sheetFormatPr defaultRowHeight="15"/>
  <cols>
    <col min="1" max="1" width="11.140625" style="61" customWidth="1"/>
    <col min="2" max="2" width="11.85546875" style="31" customWidth="1"/>
    <col min="3" max="3" width="13" style="31" customWidth="1"/>
    <col min="4" max="9" width="12.42578125" style="31" customWidth="1"/>
    <col min="10" max="10" width="9.140625" style="31"/>
    <col min="11" max="11" width="34.85546875" style="31" bestFit="1" customWidth="1"/>
    <col min="12" max="12" width="3.5703125" style="31" customWidth="1"/>
    <col min="13" max="19" width="13.42578125" style="31" customWidth="1"/>
    <col min="20" max="16384" width="9.140625" style="31"/>
  </cols>
  <sheetData>
    <row r="1" spans="1:22" ht="42.6" customHeight="1" thickBot="1">
      <c r="A1" s="61" t="s">
        <v>99</v>
      </c>
      <c r="B1" s="56" t="s">
        <v>105</v>
      </c>
      <c r="C1" s="48">
        <v>0</v>
      </c>
      <c r="D1" s="48">
        <v>1</v>
      </c>
      <c r="E1" s="48">
        <v>2</v>
      </c>
      <c r="F1" s="48">
        <v>3</v>
      </c>
      <c r="G1" s="48">
        <v>4</v>
      </c>
      <c r="H1" s="48">
        <v>5</v>
      </c>
      <c r="I1" s="48">
        <v>6</v>
      </c>
      <c r="K1" s="2" t="s">
        <v>7</v>
      </c>
      <c r="L1" s="2"/>
      <c r="M1" s="2">
        <v>0</v>
      </c>
      <c r="N1" s="2">
        <v>1</v>
      </c>
      <c r="O1" s="2">
        <v>2</v>
      </c>
      <c r="P1" s="2">
        <v>3</v>
      </c>
      <c r="Q1" s="2">
        <v>4</v>
      </c>
      <c r="R1" s="2">
        <v>5</v>
      </c>
      <c r="S1" s="2">
        <v>6</v>
      </c>
    </row>
    <row r="2" spans="1:22">
      <c r="B2" s="39" t="s">
        <v>100</v>
      </c>
      <c r="C2" s="39"/>
      <c r="D2" s="35">
        <v>21000000</v>
      </c>
      <c r="E2" s="35">
        <v>21000000</v>
      </c>
      <c r="F2" s="35">
        <v>21000000</v>
      </c>
      <c r="G2" s="35">
        <v>21000000</v>
      </c>
      <c r="H2" s="35">
        <v>21000000</v>
      </c>
      <c r="I2" s="35">
        <v>0</v>
      </c>
      <c r="K2" s="2" t="s">
        <v>27</v>
      </c>
    </row>
    <row r="3" spans="1:22">
      <c r="B3" s="39"/>
      <c r="C3" s="39"/>
      <c r="D3" s="36"/>
      <c r="E3" s="36"/>
      <c r="F3" s="36"/>
      <c r="G3" s="36"/>
      <c r="H3" s="36"/>
      <c r="I3" s="49"/>
      <c r="K3" s="2" t="s">
        <v>13</v>
      </c>
      <c r="M3" s="4">
        <f>1/5*2</f>
        <v>0.4</v>
      </c>
      <c r="N3" s="4">
        <f t="shared" ref="N3:S3" si="0">1/5*2</f>
        <v>0.4</v>
      </c>
      <c r="O3" s="4">
        <f t="shared" si="0"/>
        <v>0.4</v>
      </c>
      <c r="P3" s="4">
        <f t="shared" si="0"/>
        <v>0.4</v>
      </c>
      <c r="Q3" s="4">
        <f t="shared" si="0"/>
        <v>0.4</v>
      </c>
      <c r="R3" s="4">
        <f t="shared" si="0"/>
        <v>0.4</v>
      </c>
      <c r="S3" s="4">
        <f t="shared" si="0"/>
        <v>0.4</v>
      </c>
    </row>
    <row r="4" spans="1:22" ht="45">
      <c r="B4" s="39" t="s">
        <v>70</v>
      </c>
      <c r="C4" s="39"/>
      <c r="D4" s="50">
        <f>N4</f>
        <v>19200000</v>
      </c>
      <c r="E4" s="50">
        <f t="shared" ref="E4:I4" si="1">O4</f>
        <v>11520000</v>
      </c>
      <c r="F4" s="50">
        <f t="shared" si="1"/>
        <v>6912000</v>
      </c>
      <c r="G4" s="50">
        <f t="shared" si="1"/>
        <v>4147200</v>
      </c>
      <c r="H4" s="50">
        <f t="shared" si="1"/>
        <v>2488320</v>
      </c>
      <c r="I4" s="50">
        <f t="shared" si="1"/>
        <v>1492992</v>
      </c>
      <c r="K4" s="2" t="s">
        <v>59</v>
      </c>
      <c r="M4" s="35">
        <v>0</v>
      </c>
      <c r="N4" s="35">
        <f>N3*M5</f>
        <v>19200000</v>
      </c>
      <c r="O4" s="35">
        <f t="shared" ref="O4:R4" si="2">O3*N5</f>
        <v>11520000</v>
      </c>
      <c r="P4" s="35">
        <f t="shared" si="2"/>
        <v>6912000</v>
      </c>
      <c r="Q4" s="35">
        <f t="shared" si="2"/>
        <v>4147200</v>
      </c>
      <c r="R4" s="36">
        <f t="shared" si="2"/>
        <v>2488320</v>
      </c>
      <c r="S4" s="36">
        <f>S3*R5</f>
        <v>1492992</v>
      </c>
    </row>
    <row r="5" spans="1:22" ht="30">
      <c r="B5" s="39" t="s">
        <v>71</v>
      </c>
      <c r="C5" s="39"/>
      <c r="D5" s="35">
        <f>D2-D3-D4</f>
        <v>1800000</v>
      </c>
      <c r="E5" s="35">
        <f t="shared" ref="E5:I5" si="3">E2-E3-E4</f>
        <v>9480000</v>
      </c>
      <c r="F5" s="35">
        <f t="shared" si="3"/>
        <v>14088000</v>
      </c>
      <c r="G5" s="35">
        <f t="shared" si="3"/>
        <v>16852800</v>
      </c>
      <c r="H5" s="35">
        <f t="shared" si="3"/>
        <v>18511680</v>
      </c>
      <c r="I5" s="35">
        <f t="shared" si="3"/>
        <v>-1492992</v>
      </c>
      <c r="K5" s="2" t="s">
        <v>58</v>
      </c>
      <c r="M5" s="35">
        <v>48000000</v>
      </c>
      <c r="N5" s="35">
        <f>M5-N4</f>
        <v>28800000</v>
      </c>
      <c r="O5" s="35">
        <f t="shared" ref="O5:R5" si="4">N5-O4</f>
        <v>17280000</v>
      </c>
      <c r="P5" s="35">
        <f t="shared" si="4"/>
        <v>10368000</v>
      </c>
      <c r="Q5" s="35">
        <f t="shared" si="4"/>
        <v>6220800</v>
      </c>
      <c r="R5" s="35">
        <f t="shared" si="4"/>
        <v>3732480</v>
      </c>
      <c r="S5" s="60">
        <f>R5-S4</f>
        <v>2239488</v>
      </c>
    </row>
    <row r="6" spans="1:22" ht="30">
      <c r="B6" s="39" t="s">
        <v>78</v>
      </c>
      <c r="C6" s="39"/>
      <c r="D6" s="37">
        <f>D5*0.3</f>
        <v>540000</v>
      </c>
      <c r="E6" s="37">
        <f t="shared" ref="E6:I6" si="5">E5*0.3</f>
        <v>2844000</v>
      </c>
      <c r="F6" s="37">
        <f t="shared" si="5"/>
        <v>4226400</v>
      </c>
      <c r="G6" s="37">
        <f t="shared" si="5"/>
        <v>5055840</v>
      </c>
      <c r="H6" s="37">
        <f t="shared" si="5"/>
        <v>5553504</v>
      </c>
      <c r="I6" s="37">
        <f t="shared" si="5"/>
        <v>-447897.59999999998</v>
      </c>
      <c r="K6" s="2" t="s">
        <v>54</v>
      </c>
      <c r="M6" s="35">
        <f>M4*0.3</f>
        <v>0</v>
      </c>
      <c r="N6" s="35">
        <f t="shared" ref="N6:S6" si="6">N4*0.3</f>
        <v>5760000</v>
      </c>
      <c r="O6" s="35">
        <f t="shared" si="6"/>
        <v>3456000</v>
      </c>
      <c r="P6" s="35">
        <f t="shared" si="6"/>
        <v>2073600</v>
      </c>
      <c r="Q6" s="35">
        <f t="shared" si="6"/>
        <v>1244160</v>
      </c>
      <c r="R6" s="35">
        <f t="shared" si="6"/>
        <v>746496</v>
      </c>
      <c r="S6" s="35">
        <f t="shared" si="6"/>
        <v>447897.59999999998</v>
      </c>
    </row>
    <row r="7" spans="1:22">
      <c r="B7" s="39" t="s">
        <v>72</v>
      </c>
      <c r="C7" s="39"/>
      <c r="D7" s="38">
        <f>D5-D6</f>
        <v>1260000</v>
      </c>
      <c r="E7" s="38">
        <f t="shared" ref="E7:I7" si="7">E5-E6</f>
        <v>6636000</v>
      </c>
      <c r="F7" s="38">
        <f t="shared" si="7"/>
        <v>9861600</v>
      </c>
      <c r="G7" s="38">
        <f t="shared" si="7"/>
        <v>11796960</v>
      </c>
      <c r="H7" s="38">
        <f t="shared" si="7"/>
        <v>12958176</v>
      </c>
      <c r="I7" s="38">
        <f t="shared" si="7"/>
        <v>-1045094.4</v>
      </c>
      <c r="M7" s="35"/>
      <c r="N7" s="35"/>
      <c r="O7" s="35"/>
      <c r="P7" s="35"/>
      <c r="Q7" s="35"/>
      <c r="R7" s="35"/>
      <c r="S7" s="35"/>
    </row>
    <row r="8" spans="1:22" ht="27.95" customHeight="1">
      <c r="B8" s="77" t="s">
        <v>87</v>
      </c>
      <c r="C8" s="77"/>
      <c r="D8" s="51">
        <f>D7+D4</f>
        <v>20460000</v>
      </c>
      <c r="E8" s="51">
        <f t="shared" ref="E8:I8" si="8">E7+E4</f>
        <v>18156000</v>
      </c>
      <c r="F8" s="51">
        <f t="shared" si="8"/>
        <v>16773600</v>
      </c>
      <c r="G8" s="51">
        <f t="shared" si="8"/>
        <v>15944160</v>
      </c>
      <c r="H8" s="51">
        <f t="shared" si="8"/>
        <v>15446496</v>
      </c>
      <c r="I8" s="51">
        <f t="shared" si="8"/>
        <v>447897.59999999998</v>
      </c>
    </row>
    <row r="11" spans="1:22" ht="15.75" thickBot="1">
      <c r="B11" s="47" t="s">
        <v>104</v>
      </c>
      <c r="C11" s="48">
        <v>0</v>
      </c>
      <c r="D11" s="48">
        <v>1</v>
      </c>
      <c r="E11" s="48">
        <v>2</v>
      </c>
      <c r="F11" s="48">
        <v>3</v>
      </c>
      <c r="G11" s="48">
        <v>4</v>
      </c>
      <c r="H11" s="48">
        <v>5</v>
      </c>
      <c r="I11" s="48">
        <v>6</v>
      </c>
      <c r="K11" s="2" t="s">
        <v>7</v>
      </c>
      <c r="L11" s="2"/>
      <c r="M11" s="28">
        <v>0</v>
      </c>
      <c r="N11" s="28">
        <v>1</v>
      </c>
      <c r="O11" s="28">
        <v>2</v>
      </c>
      <c r="P11" s="28">
        <v>3</v>
      </c>
      <c r="Q11" s="2">
        <v>4</v>
      </c>
      <c r="R11" s="2">
        <v>5</v>
      </c>
      <c r="S11" s="2">
        <v>6</v>
      </c>
      <c r="T11" s="2">
        <v>7</v>
      </c>
      <c r="U11" s="2">
        <v>8</v>
      </c>
      <c r="V11" s="2">
        <v>9</v>
      </c>
    </row>
    <row r="12" spans="1:22">
      <c r="B12" s="39" t="s">
        <v>100</v>
      </c>
      <c r="C12" s="39"/>
      <c r="D12" s="35">
        <v>14000000</v>
      </c>
      <c r="E12" s="35">
        <v>14000000</v>
      </c>
      <c r="F12" s="35">
        <v>14000000</v>
      </c>
      <c r="G12" s="35">
        <v>14000000</v>
      </c>
      <c r="H12" s="35">
        <v>14000000</v>
      </c>
      <c r="I12" s="35">
        <v>0</v>
      </c>
      <c r="K12" s="2" t="s">
        <v>27</v>
      </c>
      <c r="M12" s="46"/>
      <c r="N12" s="46"/>
      <c r="O12" s="46"/>
      <c r="P12" s="46"/>
    </row>
    <row r="13" spans="1:22">
      <c r="B13" s="39"/>
      <c r="C13" s="39"/>
      <c r="D13" s="36"/>
      <c r="E13" s="36"/>
      <c r="F13" s="36"/>
      <c r="G13" s="36"/>
      <c r="H13" s="36"/>
      <c r="I13" s="49"/>
      <c r="K13" s="2" t="s">
        <v>13</v>
      </c>
      <c r="M13" s="29">
        <f>1/5*2</f>
        <v>0.4</v>
      </c>
      <c r="N13" s="29">
        <f t="shared" ref="N13:V13" si="9">1/5*2</f>
        <v>0.4</v>
      </c>
      <c r="O13" s="29">
        <f t="shared" si="9"/>
        <v>0.4</v>
      </c>
      <c r="P13" s="29">
        <f t="shared" si="9"/>
        <v>0.4</v>
      </c>
      <c r="Q13" s="4">
        <f t="shared" si="9"/>
        <v>0.4</v>
      </c>
      <c r="R13" s="4">
        <f t="shared" si="9"/>
        <v>0.4</v>
      </c>
      <c r="S13" s="4">
        <f t="shared" si="9"/>
        <v>0.4</v>
      </c>
      <c r="T13" s="4">
        <f t="shared" si="9"/>
        <v>0.4</v>
      </c>
      <c r="U13" s="4">
        <f t="shared" si="9"/>
        <v>0.4</v>
      </c>
      <c r="V13" s="4">
        <f t="shared" si="9"/>
        <v>0.4</v>
      </c>
    </row>
    <row r="14" spans="1:22" ht="45">
      <c r="B14" s="39" t="s">
        <v>70</v>
      </c>
      <c r="C14" s="39"/>
      <c r="D14" s="50">
        <f>P14</f>
        <v>4608000</v>
      </c>
      <c r="E14" s="50">
        <f t="shared" ref="E14:H14" si="10">Q14</f>
        <v>2764800</v>
      </c>
      <c r="F14" s="50">
        <f t="shared" si="10"/>
        <v>1658880</v>
      </c>
      <c r="G14" s="50">
        <f t="shared" si="10"/>
        <v>995328</v>
      </c>
      <c r="H14" s="50">
        <f t="shared" si="10"/>
        <v>597196.80000000005</v>
      </c>
      <c r="I14" s="50">
        <f t="shared" ref="I14" si="11">V14</f>
        <v>214990.84799999997</v>
      </c>
      <c r="K14" s="2" t="s">
        <v>59</v>
      </c>
      <c r="M14" s="52">
        <v>0</v>
      </c>
      <c r="N14" s="52">
        <f>N13*M15</f>
        <v>12800000</v>
      </c>
      <c r="O14" s="52">
        <f t="shared" ref="O14:R14" si="12">O13*N15</f>
        <v>7680000</v>
      </c>
      <c r="P14" s="52">
        <f t="shared" si="12"/>
        <v>4608000</v>
      </c>
      <c r="Q14" s="35">
        <f t="shared" si="12"/>
        <v>2764800</v>
      </c>
      <c r="R14" s="35">
        <f t="shared" si="12"/>
        <v>1658880</v>
      </c>
      <c r="S14" s="35">
        <f>S13*R15</f>
        <v>995328</v>
      </c>
      <c r="T14" s="36">
        <f t="shared" ref="T14:V14" si="13">T13*S15</f>
        <v>597196.80000000005</v>
      </c>
      <c r="U14" s="36">
        <f t="shared" si="13"/>
        <v>358318.08000000002</v>
      </c>
      <c r="V14" s="36">
        <f t="shared" si="13"/>
        <v>214990.84799999997</v>
      </c>
    </row>
    <row r="15" spans="1:22" ht="30">
      <c r="B15" s="39" t="s">
        <v>71</v>
      </c>
      <c r="C15" s="39"/>
      <c r="D15" s="35">
        <f>D12-D13-D14</f>
        <v>9392000</v>
      </c>
      <c r="E15" s="35">
        <f t="shared" ref="E15:I15" si="14">E12-E13-E14</f>
        <v>11235200</v>
      </c>
      <c r="F15" s="35">
        <f t="shared" si="14"/>
        <v>12341120</v>
      </c>
      <c r="G15" s="35">
        <f t="shared" si="14"/>
        <v>13004672</v>
      </c>
      <c r="H15" s="35">
        <f t="shared" si="14"/>
        <v>13402803.199999999</v>
      </c>
      <c r="I15" s="35">
        <f t="shared" si="14"/>
        <v>-214990.84799999997</v>
      </c>
      <c r="K15" s="2" t="s">
        <v>58</v>
      </c>
      <c r="M15" s="52">
        <v>32000000</v>
      </c>
      <c r="N15" s="52">
        <f>M15-N14</f>
        <v>19200000</v>
      </c>
      <c r="O15" s="53">
        <f t="shared" ref="O15:R15" si="15">N15-O14</f>
        <v>11520000</v>
      </c>
      <c r="P15" s="52">
        <f t="shared" si="15"/>
        <v>6912000</v>
      </c>
      <c r="Q15" s="35">
        <f t="shared" si="15"/>
        <v>4147200</v>
      </c>
      <c r="R15" s="35">
        <f t="shared" si="15"/>
        <v>2488320</v>
      </c>
      <c r="S15" s="35">
        <f>R15-S14</f>
        <v>1492992</v>
      </c>
      <c r="T15" s="36">
        <f t="shared" ref="T15:V15" si="16">S15-T14</f>
        <v>895795.19999999995</v>
      </c>
      <c r="U15" s="36">
        <f t="shared" si="16"/>
        <v>537477.11999999988</v>
      </c>
      <c r="V15" s="36">
        <f t="shared" si="16"/>
        <v>322486.27199999988</v>
      </c>
    </row>
    <row r="16" spans="1:22" ht="30">
      <c r="B16" s="39" t="s">
        <v>78</v>
      </c>
      <c r="C16" s="39"/>
      <c r="D16" s="37">
        <f>D15*0.3</f>
        <v>2817600</v>
      </c>
      <c r="E16" s="37">
        <f t="shared" ref="E16:I16" si="17">E15*0.3</f>
        <v>3370560</v>
      </c>
      <c r="F16" s="37">
        <f t="shared" si="17"/>
        <v>3702336</v>
      </c>
      <c r="G16" s="37">
        <f t="shared" si="17"/>
        <v>3901401.5999999996</v>
      </c>
      <c r="H16" s="37">
        <f t="shared" si="17"/>
        <v>4020840.9599999995</v>
      </c>
      <c r="I16" s="37">
        <f t="shared" si="17"/>
        <v>-64497.254399999991</v>
      </c>
      <c r="K16" s="2" t="s">
        <v>54</v>
      </c>
      <c r="M16" s="52">
        <f>M14*0.3</f>
        <v>0</v>
      </c>
      <c r="N16" s="52">
        <f t="shared" ref="N16:V16" si="18">N14*0.3</f>
        <v>3840000</v>
      </c>
      <c r="O16" s="52">
        <f t="shared" si="18"/>
        <v>2304000</v>
      </c>
      <c r="P16" s="52">
        <f t="shared" si="18"/>
        <v>1382400</v>
      </c>
      <c r="Q16" s="35">
        <f t="shared" si="18"/>
        <v>829440</v>
      </c>
      <c r="R16" s="35">
        <f t="shared" si="18"/>
        <v>497664</v>
      </c>
      <c r="S16" s="35">
        <f t="shared" si="18"/>
        <v>298598.39999999997</v>
      </c>
      <c r="T16" s="36">
        <f t="shared" si="18"/>
        <v>179159.04000000001</v>
      </c>
      <c r="U16" s="36">
        <f t="shared" si="18"/>
        <v>107495.424</v>
      </c>
      <c r="V16" s="36">
        <f t="shared" si="18"/>
        <v>64497.254399999991</v>
      </c>
    </row>
    <row r="17" spans="1:19">
      <c r="B17" s="39" t="s">
        <v>72</v>
      </c>
      <c r="C17" s="39"/>
      <c r="D17" s="38">
        <f>D15-D16</f>
        <v>6574400</v>
      </c>
      <c r="E17" s="38">
        <f t="shared" ref="E17:I17" si="19">E15-E16</f>
        <v>7864640</v>
      </c>
      <c r="F17" s="38">
        <f t="shared" si="19"/>
        <v>8638784</v>
      </c>
      <c r="G17" s="38">
        <f t="shared" si="19"/>
        <v>9103270.4000000004</v>
      </c>
      <c r="H17" s="38">
        <f t="shared" si="19"/>
        <v>9381962.2400000002</v>
      </c>
      <c r="I17" s="38">
        <f t="shared" si="19"/>
        <v>-150493.59359999996</v>
      </c>
    </row>
    <row r="18" spans="1:19" ht="27.95" customHeight="1">
      <c r="B18" s="77" t="s">
        <v>87</v>
      </c>
      <c r="C18" s="77"/>
      <c r="D18" s="51">
        <f>D17+D14</f>
        <v>11182400</v>
      </c>
      <c r="E18" s="51">
        <f t="shared" ref="E18:I18" si="20">E17+E14</f>
        <v>10629440</v>
      </c>
      <c r="F18" s="51">
        <f t="shared" si="20"/>
        <v>10297664</v>
      </c>
      <c r="G18" s="51">
        <f t="shared" si="20"/>
        <v>10098598.4</v>
      </c>
      <c r="H18" s="51">
        <f t="shared" si="20"/>
        <v>9979159.040000001</v>
      </c>
      <c r="I18" s="51">
        <f t="shared" si="20"/>
        <v>64497.254400000005</v>
      </c>
      <c r="M18" s="31" t="s">
        <v>103</v>
      </c>
    </row>
    <row r="19" spans="1:19">
      <c r="B19" s="54"/>
      <c r="M19" s="31" t="s">
        <v>109</v>
      </c>
    </row>
    <row r="20" spans="1:19">
      <c r="N20" s="53">
        <f>O15</f>
        <v>11520000</v>
      </c>
    </row>
    <row r="21" spans="1:19">
      <c r="A21" s="61" t="s">
        <v>107</v>
      </c>
      <c r="B21" s="31" t="s">
        <v>91</v>
      </c>
    </row>
    <row r="22" spans="1:19" ht="15.75" thickBot="1">
      <c r="B22" s="55" t="s">
        <v>7</v>
      </c>
      <c r="C22" s="56">
        <v>0</v>
      </c>
      <c r="D22" s="48">
        <v>1</v>
      </c>
      <c r="E22" s="48">
        <v>2</v>
      </c>
      <c r="F22" s="48">
        <v>3</v>
      </c>
      <c r="G22" s="48">
        <v>4</v>
      </c>
      <c r="H22" s="48">
        <v>5</v>
      </c>
      <c r="I22" s="48">
        <v>6</v>
      </c>
    </row>
    <row r="23" spans="1:19">
      <c r="B23" s="39" t="s">
        <v>105</v>
      </c>
      <c r="C23" s="39"/>
      <c r="D23" s="57">
        <f>D8</f>
        <v>20460000</v>
      </c>
      <c r="E23" s="57">
        <f t="shared" ref="E23:I23" si="21">E8</f>
        <v>18156000</v>
      </c>
      <c r="F23" s="57">
        <f t="shared" si="21"/>
        <v>16773600</v>
      </c>
      <c r="G23" s="57">
        <f t="shared" si="21"/>
        <v>15944160</v>
      </c>
      <c r="H23" s="57">
        <f t="shared" si="21"/>
        <v>15446496</v>
      </c>
      <c r="I23" s="57">
        <f t="shared" si="21"/>
        <v>447897.59999999998</v>
      </c>
    </row>
    <row r="24" spans="1:19">
      <c r="B24" s="39" t="s">
        <v>106</v>
      </c>
      <c r="C24" s="39"/>
      <c r="D24" s="58">
        <f>D18</f>
        <v>11182400</v>
      </c>
      <c r="E24" s="58">
        <f t="shared" ref="E24:I24" si="22">E18</f>
        <v>10629440</v>
      </c>
      <c r="F24" s="58">
        <f t="shared" si="22"/>
        <v>10297664</v>
      </c>
      <c r="G24" s="58">
        <f t="shared" si="22"/>
        <v>10098598.4</v>
      </c>
      <c r="H24" s="58">
        <f t="shared" si="22"/>
        <v>9979159.040000001</v>
      </c>
      <c r="I24" s="58">
        <f t="shared" si="22"/>
        <v>64497.254400000005</v>
      </c>
    </row>
    <row r="25" spans="1:19">
      <c r="B25" s="39" t="s">
        <v>90</v>
      </c>
      <c r="C25" s="59">
        <v>-8536000</v>
      </c>
      <c r="D25" s="59">
        <f>D23-D24</f>
        <v>9277600</v>
      </c>
      <c r="E25" s="59">
        <f t="shared" ref="E25:I25" si="23">E23-E24</f>
        <v>7526560</v>
      </c>
      <c r="F25" s="59">
        <f t="shared" si="23"/>
        <v>6475936</v>
      </c>
      <c r="G25" s="59">
        <f t="shared" si="23"/>
        <v>5845561.5999999996</v>
      </c>
      <c r="H25" s="59">
        <f t="shared" si="23"/>
        <v>5467336.959999999</v>
      </c>
      <c r="I25" s="59">
        <f t="shared" si="23"/>
        <v>383400.3456</v>
      </c>
    </row>
    <row r="26" spans="1:19">
      <c r="B26" s="62"/>
    </row>
    <row r="29" spans="1:19" ht="16.5" thickBot="1">
      <c r="A29" s="80" t="s">
        <v>133</v>
      </c>
      <c r="B29" s="56" t="s">
        <v>108</v>
      </c>
      <c r="C29" s="48">
        <v>0</v>
      </c>
      <c r="D29" s="48">
        <v>1</v>
      </c>
      <c r="E29" s="48">
        <v>2</v>
      </c>
      <c r="F29" s="48">
        <v>3</v>
      </c>
      <c r="G29" s="48">
        <v>4</v>
      </c>
      <c r="H29" s="48">
        <v>5</v>
      </c>
      <c r="I29" s="48">
        <v>6</v>
      </c>
      <c r="K29" s="2" t="s">
        <v>7</v>
      </c>
      <c r="L29" s="2"/>
      <c r="M29" s="2">
        <v>0</v>
      </c>
      <c r="N29" s="2">
        <v>1</v>
      </c>
      <c r="O29" s="2">
        <v>2</v>
      </c>
      <c r="P29" s="2">
        <v>3</v>
      </c>
      <c r="Q29" s="2">
        <v>4</v>
      </c>
      <c r="R29" s="2">
        <v>5</v>
      </c>
      <c r="S29" s="2">
        <v>6</v>
      </c>
    </row>
    <row r="30" spans="1:19">
      <c r="B30" s="39" t="s">
        <v>100</v>
      </c>
      <c r="C30" s="39"/>
      <c r="D30" s="35">
        <v>22000000</v>
      </c>
      <c r="E30" s="35">
        <v>24000000</v>
      </c>
      <c r="F30" s="35">
        <v>26000000</v>
      </c>
      <c r="G30" s="35">
        <v>26000000</v>
      </c>
      <c r="H30" s="35">
        <v>26000000</v>
      </c>
      <c r="I30" s="35">
        <v>0</v>
      </c>
      <c r="K30" s="2" t="s">
        <v>27</v>
      </c>
    </row>
    <row r="31" spans="1:19">
      <c r="B31" s="39"/>
      <c r="C31" s="39"/>
      <c r="D31" s="36"/>
      <c r="E31" s="36"/>
      <c r="F31" s="36"/>
      <c r="G31" s="36"/>
      <c r="H31" s="36"/>
      <c r="I31" s="49"/>
      <c r="K31" s="2" t="s">
        <v>13</v>
      </c>
      <c r="M31" s="4">
        <f>1/5*2</f>
        <v>0.4</v>
      </c>
      <c r="N31" s="4">
        <f t="shared" ref="N31:S31" si="24">1/5*2</f>
        <v>0.4</v>
      </c>
      <c r="O31" s="4">
        <f t="shared" si="24"/>
        <v>0.4</v>
      </c>
      <c r="P31" s="4">
        <f t="shared" si="24"/>
        <v>0.4</v>
      </c>
      <c r="Q31" s="4">
        <f t="shared" si="24"/>
        <v>0.4</v>
      </c>
      <c r="R31" s="4">
        <f t="shared" si="24"/>
        <v>0.4</v>
      </c>
      <c r="S31" s="4">
        <f t="shared" si="24"/>
        <v>0.4</v>
      </c>
    </row>
    <row r="32" spans="1:19" ht="45">
      <c r="B32" s="39" t="s">
        <v>70</v>
      </c>
      <c r="C32" s="39"/>
      <c r="D32" s="50">
        <f>N32</f>
        <v>24000000</v>
      </c>
      <c r="E32" s="50">
        <f t="shared" ref="E32" si="25">O32</f>
        <v>14400000</v>
      </c>
      <c r="F32" s="50">
        <f t="shared" ref="F32" si="26">P32</f>
        <v>8640000</v>
      </c>
      <c r="G32" s="50">
        <f t="shared" ref="G32" si="27">Q32</f>
        <v>5184000</v>
      </c>
      <c r="H32" s="50">
        <f t="shared" ref="H32" si="28">R32</f>
        <v>3110400</v>
      </c>
      <c r="I32" s="50">
        <f t="shared" ref="I32" si="29">S32</f>
        <v>1866240</v>
      </c>
      <c r="K32" s="2" t="s">
        <v>59</v>
      </c>
      <c r="M32" s="35">
        <v>0</v>
      </c>
      <c r="N32" s="35">
        <f>N31*M33</f>
        <v>24000000</v>
      </c>
      <c r="O32" s="35">
        <f t="shared" ref="O32" si="30">O31*N33</f>
        <v>14400000</v>
      </c>
      <c r="P32" s="35">
        <f t="shared" ref="P32" si="31">P31*O33</f>
        <v>8640000</v>
      </c>
      <c r="Q32" s="35">
        <f t="shared" ref="Q32" si="32">Q31*P33</f>
        <v>5184000</v>
      </c>
      <c r="R32" s="36">
        <f t="shared" ref="R32" si="33">R31*Q33</f>
        <v>3110400</v>
      </c>
      <c r="S32" s="36">
        <f>S31*R33</f>
        <v>1866240</v>
      </c>
    </row>
    <row r="33" spans="2:22" ht="30">
      <c r="B33" s="39" t="s">
        <v>71</v>
      </c>
      <c r="C33" s="39"/>
      <c r="D33" s="35">
        <f>D30-D31-D32</f>
        <v>-2000000</v>
      </c>
      <c r="E33" s="35">
        <f t="shared" ref="E33:I33" si="34">E30-E31-E32</f>
        <v>9600000</v>
      </c>
      <c r="F33" s="35">
        <f t="shared" si="34"/>
        <v>17360000</v>
      </c>
      <c r="G33" s="35">
        <f t="shared" si="34"/>
        <v>20816000</v>
      </c>
      <c r="H33" s="35">
        <f t="shared" si="34"/>
        <v>22889600</v>
      </c>
      <c r="I33" s="35">
        <f t="shared" si="34"/>
        <v>-1866240</v>
      </c>
      <c r="K33" s="2" t="s">
        <v>58</v>
      </c>
      <c r="M33" s="35">
        <v>60000000</v>
      </c>
      <c r="N33" s="35">
        <f>M33-N32</f>
        <v>36000000</v>
      </c>
      <c r="O33" s="35">
        <f t="shared" ref="O33" si="35">N33-O32</f>
        <v>21600000</v>
      </c>
      <c r="P33" s="35">
        <f t="shared" ref="P33" si="36">O33-P32</f>
        <v>12960000</v>
      </c>
      <c r="Q33" s="35">
        <f t="shared" ref="Q33" si="37">P33-Q32</f>
        <v>7776000</v>
      </c>
      <c r="R33" s="35">
        <f t="shared" ref="R33" si="38">Q33-R32</f>
        <v>4665600</v>
      </c>
      <c r="S33" s="60">
        <f>R33-S32</f>
        <v>2799360</v>
      </c>
    </row>
    <row r="34" spans="2:22" ht="30">
      <c r="B34" s="39" t="s">
        <v>78</v>
      </c>
      <c r="C34" s="39"/>
      <c r="D34" s="37">
        <f>D33*0.3</f>
        <v>-600000</v>
      </c>
      <c r="E34" s="37">
        <f t="shared" ref="E34:I34" si="39">E33*0.3</f>
        <v>2880000</v>
      </c>
      <c r="F34" s="37">
        <f t="shared" si="39"/>
        <v>5208000</v>
      </c>
      <c r="G34" s="37">
        <f t="shared" si="39"/>
        <v>6244800</v>
      </c>
      <c r="H34" s="37">
        <f t="shared" si="39"/>
        <v>6866880</v>
      </c>
      <c r="I34" s="37">
        <f t="shared" si="39"/>
        <v>-559872</v>
      </c>
      <c r="K34" s="2" t="s">
        <v>54</v>
      </c>
      <c r="M34" s="35">
        <f>M32*0.3</f>
        <v>0</v>
      </c>
      <c r="N34" s="35">
        <f t="shared" ref="N34:S34" si="40">N32*0.3</f>
        <v>7200000</v>
      </c>
      <c r="O34" s="35">
        <f t="shared" si="40"/>
        <v>4320000</v>
      </c>
      <c r="P34" s="35">
        <f t="shared" si="40"/>
        <v>2592000</v>
      </c>
      <c r="Q34" s="35">
        <f t="shared" si="40"/>
        <v>1555200</v>
      </c>
      <c r="R34" s="35">
        <f t="shared" si="40"/>
        <v>933120</v>
      </c>
      <c r="S34" s="35">
        <f t="shared" si="40"/>
        <v>559872</v>
      </c>
    </row>
    <row r="35" spans="2:22">
      <c r="B35" s="39" t="s">
        <v>72</v>
      </c>
      <c r="C35" s="39"/>
      <c r="D35" s="38">
        <f>D33-D34</f>
        <v>-1400000</v>
      </c>
      <c r="E35" s="38">
        <f t="shared" ref="E35:I35" si="41">E33-E34</f>
        <v>6720000</v>
      </c>
      <c r="F35" s="38">
        <f t="shared" si="41"/>
        <v>12152000</v>
      </c>
      <c r="G35" s="38">
        <f t="shared" si="41"/>
        <v>14571200</v>
      </c>
      <c r="H35" s="38">
        <f t="shared" si="41"/>
        <v>16022720</v>
      </c>
      <c r="I35" s="38">
        <f t="shared" si="41"/>
        <v>-1306368</v>
      </c>
      <c r="M35" s="35"/>
      <c r="N35" s="35"/>
      <c r="O35" s="35"/>
      <c r="P35" s="35"/>
      <c r="Q35" s="35"/>
      <c r="R35" s="35"/>
      <c r="S35" s="35"/>
    </row>
    <row r="36" spans="2:22">
      <c r="B36" s="77" t="s">
        <v>87</v>
      </c>
      <c r="C36" s="77"/>
      <c r="D36" s="51">
        <f>D35+D32</f>
        <v>22600000</v>
      </c>
      <c r="E36" s="51">
        <f t="shared" ref="E36:I36" si="42">E35+E32</f>
        <v>21120000</v>
      </c>
      <c r="F36" s="51">
        <f t="shared" si="42"/>
        <v>20792000</v>
      </c>
      <c r="G36" s="51">
        <f t="shared" si="42"/>
        <v>19755200</v>
      </c>
      <c r="H36" s="51">
        <f t="shared" si="42"/>
        <v>19133120</v>
      </c>
      <c r="I36" s="51">
        <f t="shared" si="42"/>
        <v>559872</v>
      </c>
    </row>
    <row r="39" spans="2:22" ht="15.75" thickBot="1">
      <c r="B39" s="47" t="s">
        <v>104</v>
      </c>
      <c r="C39" s="48">
        <v>0</v>
      </c>
      <c r="D39" s="48">
        <v>1</v>
      </c>
      <c r="E39" s="48">
        <v>2</v>
      </c>
      <c r="F39" s="48">
        <v>3</v>
      </c>
      <c r="G39" s="48">
        <v>4</v>
      </c>
      <c r="H39" s="48">
        <v>5</v>
      </c>
      <c r="I39" s="48">
        <v>6</v>
      </c>
      <c r="K39" s="2" t="s">
        <v>7</v>
      </c>
      <c r="L39" s="2"/>
      <c r="M39" s="28">
        <v>0</v>
      </c>
      <c r="N39" s="28">
        <v>1</v>
      </c>
      <c r="O39" s="28">
        <v>2</v>
      </c>
      <c r="P39" s="28">
        <v>3</v>
      </c>
      <c r="Q39" s="2">
        <v>4</v>
      </c>
      <c r="R39" s="2">
        <v>5</v>
      </c>
      <c r="S39" s="2">
        <v>6</v>
      </c>
      <c r="T39" s="2">
        <v>7</v>
      </c>
      <c r="U39" s="2">
        <v>8</v>
      </c>
      <c r="V39" s="2">
        <v>9</v>
      </c>
    </row>
    <row r="40" spans="2:22">
      <c r="B40" s="39" t="s">
        <v>100</v>
      </c>
      <c r="C40" s="39"/>
      <c r="D40" s="35">
        <v>14000000</v>
      </c>
      <c r="E40" s="35">
        <v>14000000</v>
      </c>
      <c r="F40" s="35">
        <v>14000000</v>
      </c>
      <c r="G40" s="35">
        <v>14000000</v>
      </c>
      <c r="H40" s="35">
        <v>14000000</v>
      </c>
      <c r="I40" s="35">
        <v>0</v>
      </c>
      <c r="K40" s="2" t="s">
        <v>27</v>
      </c>
      <c r="M40" s="46"/>
      <c r="N40" s="46"/>
      <c r="O40" s="46"/>
      <c r="P40" s="46"/>
    </row>
    <row r="41" spans="2:22">
      <c r="B41" s="39"/>
      <c r="C41" s="39"/>
      <c r="D41" s="36"/>
      <c r="E41" s="36"/>
      <c r="F41" s="36"/>
      <c r="G41" s="36"/>
      <c r="H41" s="36"/>
      <c r="I41" s="49"/>
      <c r="K41" s="2" t="s">
        <v>13</v>
      </c>
      <c r="M41" s="29">
        <f>1/5*2</f>
        <v>0.4</v>
      </c>
      <c r="N41" s="29">
        <f t="shared" ref="N41:V41" si="43">1/5*2</f>
        <v>0.4</v>
      </c>
      <c r="O41" s="29">
        <f t="shared" si="43"/>
        <v>0.4</v>
      </c>
      <c r="P41" s="29">
        <f t="shared" si="43"/>
        <v>0.4</v>
      </c>
      <c r="Q41" s="4">
        <f t="shared" si="43"/>
        <v>0.4</v>
      </c>
      <c r="R41" s="4">
        <f t="shared" si="43"/>
        <v>0.4</v>
      </c>
      <c r="S41" s="4">
        <f t="shared" si="43"/>
        <v>0.4</v>
      </c>
      <c r="T41" s="4">
        <f t="shared" si="43"/>
        <v>0.4</v>
      </c>
      <c r="U41" s="4">
        <f t="shared" si="43"/>
        <v>0.4</v>
      </c>
      <c r="V41" s="4">
        <f t="shared" si="43"/>
        <v>0.4</v>
      </c>
    </row>
    <row r="42" spans="2:22" ht="45">
      <c r="B42" s="39" t="s">
        <v>70</v>
      </c>
      <c r="C42" s="39"/>
      <c r="D42" s="50">
        <f>P42</f>
        <v>4608000</v>
      </c>
      <c r="E42" s="50">
        <f t="shared" ref="E42" si="44">Q42</f>
        <v>2764800</v>
      </c>
      <c r="F42" s="50">
        <f t="shared" ref="F42" si="45">R42</f>
        <v>1658880</v>
      </c>
      <c r="G42" s="50">
        <f t="shared" ref="G42" si="46">S42</f>
        <v>995328</v>
      </c>
      <c r="H42" s="50">
        <f t="shared" ref="H42" si="47">T42</f>
        <v>597196.80000000005</v>
      </c>
      <c r="I42" s="50">
        <f t="shared" ref="I42" si="48">V42</f>
        <v>214990.84799999997</v>
      </c>
      <c r="K42" s="2" t="s">
        <v>59</v>
      </c>
      <c r="M42" s="52">
        <v>0</v>
      </c>
      <c r="N42" s="52">
        <f>N41*M43</f>
        <v>12800000</v>
      </c>
      <c r="O42" s="52">
        <f t="shared" ref="O42" si="49">O41*N43</f>
        <v>7680000</v>
      </c>
      <c r="P42" s="52">
        <f t="shared" ref="P42" si="50">P41*O43</f>
        <v>4608000</v>
      </c>
      <c r="Q42" s="35">
        <f t="shared" ref="Q42" si="51">Q41*P43</f>
        <v>2764800</v>
      </c>
      <c r="R42" s="35">
        <f t="shared" ref="R42" si="52">R41*Q43</f>
        <v>1658880</v>
      </c>
      <c r="S42" s="35">
        <f>S41*R43</f>
        <v>995328</v>
      </c>
      <c r="T42" s="36">
        <f t="shared" ref="T42" si="53">T41*S43</f>
        <v>597196.80000000005</v>
      </c>
      <c r="U42" s="36">
        <f t="shared" ref="U42" si="54">U41*T43</f>
        <v>358318.08000000002</v>
      </c>
      <c r="V42" s="36">
        <f t="shared" ref="V42" si="55">V41*U43</f>
        <v>214990.84799999997</v>
      </c>
    </row>
    <row r="43" spans="2:22" ht="30">
      <c r="B43" s="39" t="s">
        <v>71</v>
      </c>
      <c r="C43" s="39"/>
      <c r="D43" s="35">
        <f>D40-D41-D42</f>
        <v>9392000</v>
      </c>
      <c r="E43" s="35">
        <f t="shared" ref="E43:I43" si="56">E40-E41-E42</f>
        <v>11235200</v>
      </c>
      <c r="F43" s="35">
        <f t="shared" si="56"/>
        <v>12341120</v>
      </c>
      <c r="G43" s="35">
        <f t="shared" si="56"/>
        <v>13004672</v>
      </c>
      <c r="H43" s="35">
        <f t="shared" si="56"/>
        <v>13402803.199999999</v>
      </c>
      <c r="I43" s="35">
        <f t="shared" si="56"/>
        <v>-214990.84799999997</v>
      </c>
      <c r="K43" s="2" t="s">
        <v>58</v>
      </c>
      <c r="M43" s="52">
        <f>M15</f>
        <v>32000000</v>
      </c>
      <c r="N43" s="52">
        <f>M43-N42</f>
        <v>19200000</v>
      </c>
      <c r="O43" s="53">
        <f t="shared" ref="O43" si="57">N43-O42</f>
        <v>11520000</v>
      </c>
      <c r="P43" s="52">
        <f t="shared" ref="P43" si="58">O43-P42</f>
        <v>6912000</v>
      </c>
      <c r="Q43" s="35">
        <f t="shared" ref="Q43" si="59">P43-Q42</f>
        <v>4147200</v>
      </c>
      <c r="R43" s="35">
        <f t="shared" ref="R43" si="60">Q43-R42</f>
        <v>2488320</v>
      </c>
      <c r="S43" s="35">
        <f>R43-S42</f>
        <v>1492992</v>
      </c>
      <c r="T43" s="36">
        <f t="shared" ref="T43" si="61">S43-T42</f>
        <v>895795.19999999995</v>
      </c>
      <c r="U43" s="36">
        <f t="shared" ref="U43" si="62">T43-U42</f>
        <v>537477.11999999988</v>
      </c>
      <c r="V43" s="36">
        <f t="shared" ref="V43" si="63">U43-V42</f>
        <v>322486.27199999988</v>
      </c>
    </row>
    <row r="44" spans="2:22" ht="30">
      <c r="B44" s="39" t="s">
        <v>78</v>
      </c>
      <c r="C44" s="39"/>
      <c r="D44" s="37">
        <f>D43*0.3</f>
        <v>2817600</v>
      </c>
      <c r="E44" s="37">
        <f t="shared" ref="E44:I44" si="64">E43*0.3</f>
        <v>3370560</v>
      </c>
      <c r="F44" s="37">
        <f t="shared" si="64"/>
        <v>3702336</v>
      </c>
      <c r="G44" s="37">
        <f t="shared" si="64"/>
        <v>3901401.5999999996</v>
      </c>
      <c r="H44" s="37">
        <f t="shared" si="64"/>
        <v>4020840.9599999995</v>
      </c>
      <c r="I44" s="37">
        <f t="shared" si="64"/>
        <v>-64497.254399999991</v>
      </c>
      <c r="K44" s="2" t="s">
        <v>54</v>
      </c>
      <c r="M44" s="52">
        <f>M42*0.3</f>
        <v>0</v>
      </c>
      <c r="N44" s="52">
        <f t="shared" ref="N44:V44" si="65">N42*0.3</f>
        <v>3840000</v>
      </c>
      <c r="O44" s="52">
        <f t="shared" si="65"/>
        <v>2304000</v>
      </c>
      <c r="P44" s="52">
        <f t="shared" si="65"/>
        <v>1382400</v>
      </c>
      <c r="Q44" s="35">
        <f t="shared" si="65"/>
        <v>829440</v>
      </c>
      <c r="R44" s="35">
        <f t="shared" si="65"/>
        <v>497664</v>
      </c>
      <c r="S44" s="35">
        <f t="shared" si="65"/>
        <v>298598.39999999997</v>
      </c>
      <c r="T44" s="36">
        <f t="shared" si="65"/>
        <v>179159.04000000001</v>
      </c>
      <c r="U44" s="36">
        <f t="shared" si="65"/>
        <v>107495.424</v>
      </c>
      <c r="V44" s="36">
        <f t="shared" si="65"/>
        <v>64497.254399999991</v>
      </c>
    </row>
    <row r="45" spans="2:22">
      <c r="B45" s="39" t="s">
        <v>72</v>
      </c>
      <c r="C45" s="39"/>
      <c r="D45" s="38">
        <f>D43-D44</f>
        <v>6574400</v>
      </c>
      <c r="E45" s="38">
        <f t="shared" ref="E45:I45" si="66">E43-E44</f>
        <v>7864640</v>
      </c>
      <c r="F45" s="38">
        <f t="shared" si="66"/>
        <v>8638784</v>
      </c>
      <c r="G45" s="38">
        <f t="shared" si="66"/>
        <v>9103270.4000000004</v>
      </c>
      <c r="H45" s="38">
        <f t="shared" si="66"/>
        <v>9381962.2400000002</v>
      </c>
      <c r="I45" s="38">
        <f t="shared" si="66"/>
        <v>-150493.59359999996</v>
      </c>
    </row>
    <row r="46" spans="2:22">
      <c r="B46" s="77" t="s">
        <v>87</v>
      </c>
      <c r="C46" s="77"/>
      <c r="D46" s="51">
        <f>D45+D42</f>
        <v>11182400</v>
      </c>
      <c r="E46" s="51">
        <f t="shared" ref="E46:I46" si="67">E45+E42</f>
        <v>10629440</v>
      </c>
      <c r="F46" s="51">
        <f t="shared" si="67"/>
        <v>10297664</v>
      </c>
      <c r="G46" s="51">
        <f t="shared" si="67"/>
        <v>10098598.4</v>
      </c>
      <c r="H46" s="51">
        <f t="shared" si="67"/>
        <v>9979159.040000001</v>
      </c>
      <c r="I46" s="51">
        <f t="shared" si="67"/>
        <v>64497.254400000005</v>
      </c>
      <c r="M46" s="31" t="s">
        <v>103</v>
      </c>
    </row>
    <row r="47" spans="2:22">
      <c r="B47" s="54"/>
      <c r="M47" s="31" t="s">
        <v>109</v>
      </c>
    </row>
    <row r="48" spans="2:22">
      <c r="N48" s="53">
        <f>O43</f>
        <v>11520000</v>
      </c>
    </row>
    <row r="49" spans="1:9" ht="15.75">
      <c r="A49" s="80" t="s">
        <v>134</v>
      </c>
      <c r="B49" s="31" t="s">
        <v>91</v>
      </c>
    </row>
    <row r="50" spans="1:9" ht="15.75" thickBot="1">
      <c r="B50" s="55" t="s">
        <v>7</v>
      </c>
      <c r="C50" s="56">
        <v>0</v>
      </c>
      <c r="D50" s="48">
        <v>1</v>
      </c>
      <c r="E50" s="48">
        <v>2</v>
      </c>
      <c r="F50" s="48">
        <v>3</v>
      </c>
      <c r="G50" s="48">
        <v>4</v>
      </c>
      <c r="H50" s="48">
        <v>5</v>
      </c>
      <c r="I50" s="48">
        <v>6</v>
      </c>
    </row>
    <row r="51" spans="1:9">
      <c r="B51" s="39" t="s">
        <v>108</v>
      </c>
      <c r="C51" s="39"/>
      <c r="D51" s="57">
        <f>D36</f>
        <v>22600000</v>
      </c>
      <c r="E51" s="57">
        <f t="shared" ref="E51:I51" si="68">E36</f>
        <v>21120000</v>
      </c>
      <c r="F51" s="57">
        <f t="shared" si="68"/>
        <v>20792000</v>
      </c>
      <c r="G51" s="57">
        <f t="shared" si="68"/>
        <v>19755200</v>
      </c>
      <c r="H51" s="57">
        <f t="shared" si="68"/>
        <v>19133120</v>
      </c>
      <c r="I51" s="57">
        <f t="shared" si="68"/>
        <v>559872</v>
      </c>
    </row>
    <row r="52" spans="1:9">
      <c r="B52" s="39" t="s">
        <v>106</v>
      </c>
      <c r="C52" s="39"/>
      <c r="D52" s="58">
        <f>D46</f>
        <v>11182400</v>
      </c>
      <c r="E52" s="58">
        <f t="shared" ref="E52:I52" si="69">E46</f>
        <v>10629440</v>
      </c>
      <c r="F52" s="58">
        <f t="shared" si="69"/>
        <v>10297664</v>
      </c>
      <c r="G52" s="58">
        <f t="shared" si="69"/>
        <v>10098598.4</v>
      </c>
      <c r="H52" s="58">
        <f t="shared" si="69"/>
        <v>9979159.040000001</v>
      </c>
      <c r="I52" s="58">
        <f t="shared" si="69"/>
        <v>64497.254400000005</v>
      </c>
    </row>
    <row r="53" spans="1:9">
      <c r="B53" s="39" t="s">
        <v>90</v>
      </c>
      <c r="C53" s="59">
        <v>-10536000</v>
      </c>
      <c r="D53" s="59">
        <f>D51-D52</f>
        <v>11417600</v>
      </c>
      <c r="E53" s="59">
        <f t="shared" ref="E53:I53" si="70">E51-E52</f>
        <v>10490560</v>
      </c>
      <c r="F53" s="59">
        <f t="shared" si="70"/>
        <v>10494336</v>
      </c>
      <c r="G53" s="59">
        <f t="shared" si="70"/>
        <v>9656601.5999999996</v>
      </c>
      <c r="H53" s="59">
        <f t="shared" si="70"/>
        <v>9153960.959999999</v>
      </c>
      <c r="I53" s="59">
        <f t="shared" si="70"/>
        <v>495374.74560000002</v>
      </c>
    </row>
    <row r="54" spans="1:9">
      <c r="B54" s="62"/>
    </row>
  </sheetData>
  <mergeCells count="4">
    <mergeCell ref="B8:C8"/>
    <mergeCell ref="B18:C18"/>
    <mergeCell ref="B36:C36"/>
    <mergeCell ref="B46:C4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3"/>
  <sheetViews>
    <sheetView workbookViewId="0">
      <selection activeCell="E10" sqref="E10"/>
    </sheetView>
  </sheetViews>
  <sheetFormatPr defaultRowHeight="15"/>
  <cols>
    <col min="2" max="2" width="10.85546875" bestFit="1" customWidth="1"/>
    <col min="3" max="3" width="12" bestFit="1" customWidth="1"/>
    <col min="4" max="8" width="11.85546875" bestFit="1" customWidth="1"/>
  </cols>
  <sheetData>
    <row r="1" spans="1:8">
      <c r="A1" s="79" t="s">
        <v>124</v>
      </c>
      <c r="C1" s="66">
        <v>-485000</v>
      </c>
      <c r="D1" s="66">
        <v>125000</v>
      </c>
      <c r="E1" s="66">
        <v>125000</v>
      </c>
      <c r="F1" s="66">
        <v>125000</v>
      </c>
      <c r="G1" s="66">
        <v>125000</v>
      </c>
      <c r="H1" s="66">
        <v>125000</v>
      </c>
    </row>
    <row r="2" spans="1:8">
      <c r="B2" t="s">
        <v>110</v>
      </c>
      <c r="C2" s="63">
        <v>0.1</v>
      </c>
      <c r="D2" s="64"/>
      <c r="E2" s="64"/>
      <c r="F2" s="64"/>
      <c r="G2" s="64"/>
      <c r="H2" s="64"/>
    </row>
    <row r="3" spans="1:8">
      <c r="B3" t="s">
        <v>111</v>
      </c>
      <c r="C3" s="65">
        <f>NPV(0.1,D1:H1)+C1</f>
        <v>-11151.6538239441</v>
      </c>
      <c r="D3" s="64"/>
      <c r="E3" s="64"/>
      <c r="F3" s="64"/>
      <c r="G3" s="64"/>
      <c r="H3" s="6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9"/>
  <sheetViews>
    <sheetView zoomScale="75" zoomScaleNormal="75" workbookViewId="0">
      <selection activeCell="L29" sqref="L29"/>
    </sheetView>
  </sheetViews>
  <sheetFormatPr defaultRowHeight="15"/>
  <cols>
    <col min="1" max="1" width="9.7109375" style="61" bestFit="1" customWidth="1"/>
    <col min="2" max="2" width="37.5703125" style="31" bestFit="1" customWidth="1"/>
    <col min="3" max="3" width="15.42578125" style="31" bestFit="1" customWidth="1"/>
    <col min="4" max="4" width="17.140625" style="31" customWidth="1"/>
    <col min="5" max="5" width="12.7109375" style="31" bestFit="1" customWidth="1"/>
    <col min="6" max="6" width="12.85546875" style="31" customWidth="1"/>
    <col min="7" max="9" width="13.42578125" style="31" bestFit="1" customWidth="1"/>
    <col min="10" max="10" width="10.85546875" style="31" customWidth="1"/>
    <col min="11" max="11" width="14.42578125" style="31" customWidth="1"/>
    <col min="12" max="12" width="34.85546875" style="31" bestFit="1" customWidth="1"/>
    <col min="13" max="13" width="3.5703125" style="31" customWidth="1"/>
    <col min="14" max="14" width="14.42578125" style="31" bestFit="1" customWidth="1"/>
    <col min="15" max="18" width="12.7109375" style="31" bestFit="1" customWidth="1"/>
    <col min="19" max="20" width="12" style="31" customWidth="1"/>
    <col min="21" max="16384" width="9.140625" style="31"/>
  </cols>
  <sheetData>
    <row r="1" spans="1:27" s="68" customFormat="1">
      <c r="A1" s="61"/>
      <c r="B1" s="81" t="s">
        <v>123</v>
      </c>
      <c r="C1" s="82"/>
      <c r="D1" s="82"/>
      <c r="E1" s="82"/>
      <c r="F1" s="82"/>
      <c r="G1" s="82"/>
      <c r="H1" s="82"/>
      <c r="I1" s="82"/>
      <c r="J1" s="83"/>
      <c r="K1" s="83"/>
      <c r="L1" s="84" t="s">
        <v>122</v>
      </c>
      <c r="M1" s="83"/>
      <c r="N1" s="83"/>
      <c r="O1" s="83"/>
      <c r="P1" s="83"/>
      <c r="Q1" s="83"/>
      <c r="R1" s="83"/>
      <c r="S1" s="83"/>
      <c r="T1" s="83"/>
      <c r="U1" s="83"/>
      <c r="V1" s="83"/>
      <c r="W1" s="85"/>
      <c r="X1" s="85"/>
      <c r="Y1" s="85"/>
      <c r="Z1" s="85"/>
      <c r="AA1" s="85"/>
    </row>
    <row r="2" spans="1:27" ht="45" customHeight="1" thickBot="1">
      <c r="A2" s="80" t="s">
        <v>112</v>
      </c>
      <c r="B2" s="47" t="s">
        <v>118</v>
      </c>
      <c r="C2" s="48">
        <v>0</v>
      </c>
      <c r="D2" s="48">
        <v>1</v>
      </c>
      <c r="E2" s="48">
        <v>2</v>
      </c>
      <c r="F2" s="48">
        <v>3</v>
      </c>
      <c r="G2" s="48">
        <v>4</v>
      </c>
      <c r="H2" s="48">
        <v>5</v>
      </c>
      <c r="I2" s="48">
        <v>6</v>
      </c>
      <c r="J2" s="70"/>
      <c r="L2" s="2" t="s">
        <v>7</v>
      </c>
      <c r="M2" s="2"/>
      <c r="N2" s="2">
        <v>0</v>
      </c>
      <c r="O2" s="2">
        <v>1</v>
      </c>
      <c r="P2" s="2">
        <v>2</v>
      </c>
      <c r="Q2" s="2">
        <v>3</v>
      </c>
      <c r="R2" s="2">
        <v>4</v>
      </c>
      <c r="S2" s="2">
        <v>5</v>
      </c>
      <c r="T2" s="2">
        <v>6</v>
      </c>
    </row>
    <row r="3" spans="1:27">
      <c r="B3" s="39" t="s">
        <v>113</v>
      </c>
      <c r="C3" s="39"/>
      <c r="D3" s="71">
        <v>480000</v>
      </c>
      <c r="E3" s="71">
        <v>480000</v>
      </c>
      <c r="F3" s="71">
        <v>480000</v>
      </c>
      <c r="G3" s="71">
        <v>480000</v>
      </c>
      <c r="H3" s="71">
        <v>480000</v>
      </c>
      <c r="I3" s="71">
        <v>480000</v>
      </c>
      <c r="J3" s="35"/>
      <c r="L3" s="2" t="s">
        <v>27</v>
      </c>
    </row>
    <row r="4" spans="1:27">
      <c r="B4" s="39" t="s">
        <v>114</v>
      </c>
      <c r="C4" s="39"/>
      <c r="D4" s="71">
        <v>100000</v>
      </c>
      <c r="E4" s="71">
        <v>100000</v>
      </c>
      <c r="F4" s="71">
        <v>100000</v>
      </c>
      <c r="G4" s="71">
        <v>100000</v>
      </c>
      <c r="H4" s="71">
        <v>100000</v>
      </c>
      <c r="I4" s="71">
        <v>100000</v>
      </c>
      <c r="J4" s="49"/>
      <c r="L4" s="2" t="s">
        <v>13</v>
      </c>
      <c r="N4" s="4">
        <f>1/5*2</f>
        <v>0.4</v>
      </c>
      <c r="O4" s="4">
        <f t="shared" ref="O4:T4" si="0">1/5*2</f>
        <v>0.4</v>
      </c>
      <c r="P4" s="4">
        <f t="shared" si="0"/>
        <v>0.4</v>
      </c>
      <c r="Q4" s="4">
        <f t="shared" si="0"/>
        <v>0.4</v>
      </c>
      <c r="R4" s="4">
        <f t="shared" si="0"/>
        <v>0.4</v>
      </c>
      <c r="S4" s="4">
        <f t="shared" si="0"/>
        <v>0.4</v>
      </c>
      <c r="T4" s="4">
        <f t="shared" si="0"/>
        <v>0.4</v>
      </c>
    </row>
    <row r="5" spans="1:27">
      <c r="B5" s="39" t="s">
        <v>70</v>
      </c>
      <c r="C5" s="39"/>
      <c r="D5" s="72">
        <f>O5</f>
        <v>420000</v>
      </c>
      <c r="E5" s="72">
        <f t="shared" ref="E5:I5" si="1">P5</f>
        <v>252000</v>
      </c>
      <c r="F5" s="72">
        <f t="shared" si="1"/>
        <v>151200</v>
      </c>
      <c r="G5" s="72">
        <f t="shared" si="1"/>
        <v>90720</v>
      </c>
      <c r="H5" s="72">
        <f t="shared" si="1"/>
        <v>54432</v>
      </c>
      <c r="I5" s="72">
        <f t="shared" si="1"/>
        <v>32659.200000000001</v>
      </c>
      <c r="L5" s="2" t="s">
        <v>59</v>
      </c>
      <c r="N5" s="71">
        <v>0</v>
      </c>
      <c r="O5" s="71">
        <f>O4*N6</f>
        <v>420000</v>
      </c>
      <c r="P5" s="71">
        <f t="shared" ref="P5:S5" si="2">P4*O6</f>
        <v>252000</v>
      </c>
      <c r="Q5" s="71">
        <f t="shared" si="2"/>
        <v>151200</v>
      </c>
      <c r="R5" s="71">
        <f t="shared" si="2"/>
        <v>90720</v>
      </c>
      <c r="S5" s="71">
        <f t="shared" si="2"/>
        <v>54432</v>
      </c>
      <c r="T5" s="71">
        <f>T4*S6</f>
        <v>32659.200000000001</v>
      </c>
    </row>
    <row r="6" spans="1:27">
      <c r="B6" s="39" t="s">
        <v>71</v>
      </c>
      <c r="C6" s="39"/>
      <c r="D6" s="71">
        <f>D3-D4-D5</f>
        <v>-40000</v>
      </c>
      <c r="E6" s="71">
        <f t="shared" ref="E6:I6" si="3">E3-E4-E5</f>
        <v>128000</v>
      </c>
      <c r="F6" s="71">
        <f t="shared" si="3"/>
        <v>228800</v>
      </c>
      <c r="G6" s="71">
        <f t="shared" si="3"/>
        <v>289280</v>
      </c>
      <c r="H6" s="71">
        <f t="shared" si="3"/>
        <v>325568</v>
      </c>
      <c r="I6" s="71">
        <f t="shared" si="3"/>
        <v>347340.79999999999</v>
      </c>
      <c r="J6" s="35"/>
      <c r="L6" s="2" t="s">
        <v>58</v>
      </c>
      <c r="N6" s="71">
        <v>1050000</v>
      </c>
      <c r="O6" s="71">
        <f>N6-O5</f>
        <v>630000</v>
      </c>
      <c r="P6" s="71">
        <f t="shared" ref="P6:S6" si="4">O6-P5</f>
        <v>378000</v>
      </c>
      <c r="Q6" s="71">
        <f t="shared" si="4"/>
        <v>226800</v>
      </c>
      <c r="R6" s="71">
        <f t="shared" si="4"/>
        <v>136080</v>
      </c>
      <c r="S6" s="71">
        <f t="shared" si="4"/>
        <v>81648</v>
      </c>
      <c r="T6" s="71">
        <f>S6-T5</f>
        <v>48988.800000000003</v>
      </c>
    </row>
    <row r="7" spans="1:27">
      <c r="B7" s="39" t="s">
        <v>115</v>
      </c>
      <c r="C7" s="39"/>
      <c r="D7" s="73">
        <f>D6*0.32</f>
        <v>-12800</v>
      </c>
      <c r="E7" s="73">
        <f t="shared" ref="E7:I7" si="5">E6*0.32</f>
        <v>40960</v>
      </c>
      <c r="F7" s="73">
        <f t="shared" si="5"/>
        <v>73216</v>
      </c>
      <c r="G7" s="73">
        <f t="shared" si="5"/>
        <v>92569.600000000006</v>
      </c>
      <c r="H7" s="73">
        <f t="shared" si="5"/>
        <v>104181.76000000001</v>
      </c>
      <c r="I7" s="73">
        <f t="shared" si="5"/>
        <v>111149.056</v>
      </c>
      <c r="J7" s="37"/>
      <c r="L7" s="2" t="s">
        <v>54</v>
      </c>
      <c r="N7" s="71">
        <f>N5*0.3</f>
        <v>0</v>
      </c>
      <c r="O7" s="71">
        <f t="shared" ref="O7:T7" si="6">O5*0.3</f>
        <v>126000</v>
      </c>
      <c r="P7" s="71">
        <f t="shared" si="6"/>
        <v>75600</v>
      </c>
      <c r="Q7" s="71">
        <f t="shared" si="6"/>
        <v>45360</v>
      </c>
      <c r="R7" s="71">
        <f t="shared" si="6"/>
        <v>27216</v>
      </c>
      <c r="S7" s="71">
        <f t="shared" si="6"/>
        <v>16329.599999999999</v>
      </c>
      <c r="T7" s="71">
        <f t="shared" si="6"/>
        <v>9797.76</v>
      </c>
    </row>
    <row r="8" spans="1:27">
      <c r="B8" s="39" t="s">
        <v>72</v>
      </c>
      <c r="C8" s="39"/>
      <c r="D8" s="73">
        <f>D6-D7</f>
        <v>-27200</v>
      </c>
      <c r="E8" s="73">
        <f t="shared" ref="E8:I8" si="7">E6-E7</f>
        <v>87040</v>
      </c>
      <c r="F8" s="73">
        <f t="shared" si="7"/>
        <v>155584</v>
      </c>
      <c r="G8" s="73">
        <f t="shared" si="7"/>
        <v>196710.39999999999</v>
      </c>
      <c r="H8" s="73">
        <f t="shared" si="7"/>
        <v>221386.23999999999</v>
      </c>
      <c r="I8" s="73">
        <f t="shared" si="7"/>
        <v>236191.74400000001</v>
      </c>
      <c r="J8" s="38"/>
      <c r="N8" s="35"/>
      <c r="O8" s="35"/>
      <c r="P8" s="35"/>
      <c r="Q8" s="35"/>
      <c r="R8" s="35"/>
      <c r="S8" s="35"/>
      <c r="T8" s="35"/>
    </row>
    <row r="9" spans="1:27" ht="27.95" customHeight="1">
      <c r="B9" s="77" t="s">
        <v>87</v>
      </c>
      <c r="C9" s="77"/>
      <c r="D9" s="74">
        <f>D8+D5</f>
        <v>392800</v>
      </c>
      <c r="E9" s="74">
        <f t="shared" ref="E9:I9" si="8">E8+E5</f>
        <v>339040</v>
      </c>
      <c r="F9" s="74">
        <f t="shared" si="8"/>
        <v>306784</v>
      </c>
      <c r="G9" s="74">
        <f t="shared" si="8"/>
        <v>287430.40000000002</v>
      </c>
      <c r="H9" s="74">
        <f t="shared" si="8"/>
        <v>275818.23999999999</v>
      </c>
      <c r="I9" s="74">
        <f t="shared" si="8"/>
        <v>268850.94400000002</v>
      </c>
      <c r="J9" s="51"/>
    </row>
    <row r="10" spans="1:27">
      <c r="B10" s="31" t="str">
        <f>"-Sublease lost"</f>
        <v>-Sublease lost</v>
      </c>
      <c r="D10" s="71">
        <v>80000</v>
      </c>
      <c r="E10" s="71">
        <v>80000</v>
      </c>
      <c r="F10" s="71">
        <v>80000</v>
      </c>
      <c r="G10" s="71">
        <v>80000</v>
      </c>
      <c r="H10" s="71">
        <v>80000</v>
      </c>
      <c r="I10" s="71">
        <v>80000</v>
      </c>
    </row>
    <row r="11" spans="1:27">
      <c r="B11" s="31" t="str">
        <f>"-Cannibalisation"</f>
        <v>-Cannibalisation</v>
      </c>
      <c r="D11" s="71">
        <v>25000</v>
      </c>
      <c r="E11" s="71">
        <v>25000</v>
      </c>
      <c r="F11" s="71">
        <v>25000</v>
      </c>
      <c r="G11" s="71">
        <v>25000</v>
      </c>
      <c r="H11" s="71">
        <v>25000</v>
      </c>
      <c r="I11" s="71">
        <v>25000</v>
      </c>
    </row>
    <row r="12" spans="1:27">
      <c r="B12" s="31" t="s">
        <v>116</v>
      </c>
      <c r="D12" s="74">
        <f>D9-D10-D11</f>
        <v>287800</v>
      </c>
      <c r="E12" s="74">
        <f t="shared" ref="E12:I12" si="9">E9-E10-E11</f>
        <v>234040</v>
      </c>
      <c r="F12" s="74">
        <f t="shared" si="9"/>
        <v>201784</v>
      </c>
      <c r="G12" s="74">
        <f t="shared" si="9"/>
        <v>182430.40000000002</v>
      </c>
      <c r="H12" s="74">
        <f t="shared" si="9"/>
        <v>170818.24</v>
      </c>
      <c r="I12" s="74">
        <f t="shared" si="9"/>
        <v>163850.94400000002</v>
      </c>
    </row>
    <row r="14" spans="1:27">
      <c r="B14" s="81" t="s">
        <v>121</v>
      </c>
    </row>
    <row r="15" spans="1:27">
      <c r="B15" s="16" t="str">
        <f>"@ 12% Discount Rate"</f>
        <v>@ 12% Discount Rate</v>
      </c>
    </row>
    <row r="16" spans="1:27" ht="15.75" thickBot="1">
      <c r="C16" s="48">
        <v>0</v>
      </c>
      <c r="D16" s="48">
        <v>1</v>
      </c>
      <c r="E16" s="48">
        <v>2</v>
      </c>
      <c r="F16" s="48">
        <v>3</v>
      </c>
      <c r="G16" s="48">
        <v>4</v>
      </c>
      <c r="H16" s="48">
        <v>5</v>
      </c>
      <c r="I16" s="48">
        <v>6</v>
      </c>
    </row>
    <row r="17" spans="1:9">
      <c r="B17" s="31" t="s">
        <v>117</v>
      </c>
      <c r="C17" s="73">
        <v>-1050000</v>
      </c>
    </row>
    <row r="18" spans="1:9">
      <c r="B18" s="31" t="s">
        <v>116</v>
      </c>
      <c r="D18" s="69">
        <f>D12</f>
        <v>287800</v>
      </c>
      <c r="E18" s="69">
        <f t="shared" ref="E18:I18" si="10">E12</f>
        <v>234040</v>
      </c>
      <c r="F18" s="69">
        <f t="shared" si="10"/>
        <v>201784</v>
      </c>
      <c r="G18" s="69">
        <f t="shared" si="10"/>
        <v>182430.40000000002</v>
      </c>
      <c r="H18" s="69">
        <f t="shared" si="10"/>
        <v>170818.24</v>
      </c>
      <c r="I18" s="69">
        <f t="shared" si="10"/>
        <v>163850.94400000002</v>
      </c>
    </row>
    <row r="19" spans="1:9">
      <c r="B19" s="31" t="s">
        <v>119</v>
      </c>
      <c r="I19" s="69">
        <f>100000/0.12</f>
        <v>833333.33333333337</v>
      </c>
    </row>
    <row r="20" spans="1:9" s="2" customFormat="1">
      <c r="A20" s="67"/>
      <c r="B20" s="2" t="s">
        <v>120</v>
      </c>
      <c r="C20" s="18">
        <f>SUM(C17:C19)</f>
        <v>-1050000</v>
      </c>
      <c r="D20" s="18">
        <f t="shared" ref="D20:I20" si="11">SUM(D17:D19)</f>
        <v>287800</v>
      </c>
      <c r="E20" s="18">
        <f t="shared" si="11"/>
        <v>234040</v>
      </c>
      <c r="F20" s="18">
        <f t="shared" si="11"/>
        <v>201784</v>
      </c>
      <c r="G20" s="18">
        <f t="shared" si="11"/>
        <v>182430.40000000002</v>
      </c>
      <c r="H20" s="18">
        <f t="shared" si="11"/>
        <v>170818.24</v>
      </c>
      <c r="I20" s="18">
        <f t="shared" si="11"/>
        <v>997184.27733333339</v>
      </c>
    </row>
    <row r="21" spans="1:9" s="2" customFormat="1">
      <c r="A21" s="67"/>
      <c r="B21" s="2" t="s">
        <v>111</v>
      </c>
      <c r="C21" s="18">
        <f>NPV(0.12,D20:I20)+C20</f>
        <v>255234.66886010044</v>
      </c>
    </row>
    <row r="23" spans="1:9">
      <c r="B23" s="16" t="str">
        <f>"@ 14% Discount Rate"</f>
        <v>@ 14% Discount Rate</v>
      </c>
    </row>
    <row r="24" spans="1:9" ht="15.75" thickBot="1">
      <c r="C24" s="48">
        <v>0</v>
      </c>
      <c r="D24" s="48">
        <v>1</v>
      </c>
      <c r="E24" s="48">
        <v>2</v>
      </c>
      <c r="F24" s="48">
        <v>3</v>
      </c>
      <c r="G24" s="48">
        <v>4</v>
      </c>
      <c r="H24" s="48">
        <v>5</v>
      </c>
      <c r="I24" s="48">
        <v>6</v>
      </c>
    </row>
    <row r="25" spans="1:9">
      <c r="B25" s="31" t="s">
        <v>117</v>
      </c>
      <c r="C25" s="73">
        <v>-1050000</v>
      </c>
    </row>
    <row r="26" spans="1:9">
      <c r="B26" s="31" t="s">
        <v>116</v>
      </c>
      <c r="D26" s="69">
        <f>D12</f>
        <v>287800</v>
      </c>
      <c r="E26" s="69">
        <f t="shared" ref="E26:I26" si="12">E12</f>
        <v>234040</v>
      </c>
      <c r="F26" s="69">
        <f t="shared" si="12"/>
        <v>201784</v>
      </c>
      <c r="G26" s="69">
        <f t="shared" si="12"/>
        <v>182430.40000000002</v>
      </c>
      <c r="H26" s="69">
        <f t="shared" si="12"/>
        <v>170818.24</v>
      </c>
      <c r="I26" s="69">
        <f t="shared" si="12"/>
        <v>163850.94400000002</v>
      </c>
    </row>
    <row r="27" spans="1:9">
      <c r="B27" s="31" t="s">
        <v>119</v>
      </c>
      <c r="I27" s="69">
        <f>100000/0.14</f>
        <v>714285.7142857142</v>
      </c>
    </row>
    <row r="28" spans="1:9">
      <c r="B28" s="2" t="s">
        <v>120</v>
      </c>
      <c r="C28" s="18">
        <f>SUM(C25:C27)</f>
        <v>-1050000</v>
      </c>
      <c r="D28" s="18">
        <f t="shared" ref="D28" si="13">SUM(D25:D27)</f>
        <v>287800</v>
      </c>
      <c r="E28" s="18">
        <f t="shared" ref="E28" si="14">SUM(E25:E27)</f>
        <v>234040</v>
      </c>
      <c r="F28" s="18">
        <f t="shared" ref="F28" si="15">SUM(F25:F27)</f>
        <v>201784</v>
      </c>
      <c r="G28" s="18">
        <f t="shared" ref="G28" si="16">SUM(G25:G27)</f>
        <v>182430.40000000002</v>
      </c>
      <c r="H28" s="18">
        <f t="shared" ref="H28" si="17">SUM(H25:H27)</f>
        <v>170818.24</v>
      </c>
      <c r="I28" s="18">
        <f t="shared" ref="I28" si="18">SUM(I25:I27)</f>
        <v>878136.65828571422</v>
      </c>
    </row>
    <row r="29" spans="1:9">
      <c r="B29" s="2" t="s">
        <v>111</v>
      </c>
      <c r="C29" s="18">
        <f>NPV(0.14,D28:I28)+C28</f>
        <v>115539.10467241798</v>
      </c>
      <c r="D29" s="2"/>
      <c r="E29" s="2"/>
      <c r="F29" s="2"/>
      <c r="G29" s="2"/>
      <c r="H29" s="2"/>
      <c r="I29" s="2"/>
    </row>
  </sheetData>
  <mergeCells count="1">
    <mergeCell ref="B9:C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3"/>
  <sheetViews>
    <sheetView zoomScaleNormal="100" workbookViewId="0">
      <selection activeCell="A67" sqref="A67"/>
    </sheetView>
  </sheetViews>
  <sheetFormatPr defaultRowHeight="15"/>
  <cols>
    <col min="1" max="1" width="9.85546875" bestFit="1" customWidth="1"/>
    <col min="2" max="2" width="79.28515625" bestFit="1" customWidth="1"/>
    <col min="3" max="3" width="4.42578125" customWidth="1"/>
    <col min="4" max="4" width="10.85546875" bestFit="1" customWidth="1"/>
    <col min="5" max="6" width="8.85546875" bestFit="1" customWidth="1"/>
    <col min="7" max="8" width="10" bestFit="1" customWidth="1"/>
  </cols>
  <sheetData>
    <row r="1" spans="1:11" s="2" customFormat="1">
      <c r="A1" s="78" t="s">
        <v>21</v>
      </c>
    </row>
    <row r="2" spans="1:11" s="2" customFormat="1">
      <c r="B2" s="2" t="s">
        <v>7</v>
      </c>
      <c r="D2" s="2">
        <v>0</v>
      </c>
      <c r="E2" s="2">
        <v>1</v>
      </c>
      <c r="F2" s="2">
        <v>2</v>
      </c>
      <c r="G2" s="2">
        <v>3</v>
      </c>
      <c r="H2" s="2">
        <v>4</v>
      </c>
    </row>
    <row r="3" spans="1:11" s="2" customFormat="1">
      <c r="B3" s="2" t="s">
        <v>22</v>
      </c>
    </row>
    <row r="4" spans="1:11">
      <c r="B4" t="s">
        <v>9</v>
      </c>
      <c r="D4" s="7">
        <v>-300000</v>
      </c>
      <c r="E4" s="7"/>
      <c r="F4" s="7"/>
      <c r="G4" s="7"/>
      <c r="H4" s="7"/>
      <c r="I4" s="1"/>
      <c r="J4" s="1"/>
      <c r="K4" s="1"/>
    </row>
    <row r="5" spans="1:11">
      <c r="B5" t="s">
        <v>23</v>
      </c>
      <c r="D5" s="7"/>
      <c r="E5" s="7">
        <v>925000</v>
      </c>
      <c r="F5" s="7">
        <v>990000</v>
      </c>
      <c r="G5" s="7">
        <v>1000000</v>
      </c>
      <c r="H5" s="7">
        <v>1100000</v>
      </c>
      <c r="I5" s="1"/>
      <c r="J5" s="1"/>
      <c r="K5" s="1"/>
    </row>
    <row r="6" spans="1:11">
      <c r="B6" t="s">
        <v>24</v>
      </c>
      <c r="D6" s="7"/>
      <c r="E6" s="7">
        <v>740000</v>
      </c>
      <c r="F6" s="7">
        <v>780000</v>
      </c>
      <c r="G6" s="7">
        <v>825000</v>
      </c>
      <c r="H6" s="7">
        <v>875000</v>
      </c>
      <c r="I6" s="1"/>
      <c r="J6" s="1"/>
      <c r="K6" s="1"/>
    </row>
    <row r="7" spans="1:11">
      <c r="B7" t="s">
        <v>0</v>
      </c>
      <c r="D7" s="7"/>
      <c r="E7" s="7">
        <f>E5-E6</f>
        <v>185000</v>
      </c>
      <c r="F7" s="7">
        <f t="shared" ref="F7:H7" si="0">F5-F6</f>
        <v>210000</v>
      </c>
      <c r="G7" s="7">
        <f t="shared" si="0"/>
        <v>175000</v>
      </c>
      <c r="H7" s="7">
        <f t="shared" si="0"/>
        <v>225000</v>
      </c>
      <c r="I7" s="1"/>
      <c r="J7" s="1"/>
      <c r="K7" s="1"/>
    </row>
    <row r="8" spans="1:11">
      <c r="B8" t="s">
        <v>6</v>
      </c>
      <c r="D8" s="7"/>
      <c r="E8" s="7">
        <f>E21</f>
        <v>200000</v>
      </c>
      <c r="F8" s="7">
        <f>F21</f>
        <v>66666.666666666657</v>
      </c>
      <c r="G8" s="7">
        <f>G21</f>
        <v>22222.222222222226</v>
      </c>
      <c r="H8" s="7">
        <f>H21</f>
        <v>7407.4074074074106</v>
      </c>
      <c r="I8" s="1"/>
      <c r="J8" s="1"/>
      <c r="K8" s="1"/>
    </row>
    <row r="9" spans="1:11">
      <c r="B9" t="s">
        <v>2</v>
      </c>
      <c r="D9" s="7"/>
      <c r="E9" s="7">
        <f>E7-E8</f>
        <v>-15000</v>
      </c>
      <c r="F9" s="7">
        <f t="shared" ref="F9:H9" si="1">F7-F8</f>
        <v>143333.33333333334</v>
      </c>
      <c r="G9" s="7">
        <f t="shared" si="1"/>
        <v>152777.77777777778</v>
      </c>
      <c r="H9" s="7">
        <f t="shared" si="1"/>
        <v>217592.59259259258</v>
      </c>
      <c r="I9" s="1"/>
      <c r="J9" s="1"/>
      <c r="K9" s="1"/>
    </row>
    <row r="10" spans="1:11">
      <c r="B10" t="s">
        <v>16</v>
      </c>
      <c r="D10" s="7"/>
      <c r="E10" s="7">
        <f>E9*0.3</f>
        <v>-4500</v>
      </c>
      <c r="F10" s="7">
        <f t="shared" ref="F10:H10" si="2">F9*0.3</f>
        <v>43000</v>
      </c>
      <c r="G10" s="7">
        <f t="shared" si="2"/>
        <v>45833.333333333336</v>
      </c>
      <c r="H10" s="7">
        <f t="shared" si="2"/>
        <v>65277.777777777774</v>
      </c>
      <c r="I10" s="1"/>
      <c r="J10" s="1"/>
      <c r="K10" s="1"/>
    </row>
    <row r="11" spans="1:11">
      <c r="B11" t="s">
        <v>3</v>
      </c>
      <c r="D11" s="7"/>
      <c r="E11" s="7">
        <f>E9-E10</f>
        <v>-10500</v>
      </c>
      <c r="F11" s="7">
        <f t="shared" ref="F11:H11" si="3">F9-F10</f>
        <v>100333.33333333334</v>
      </c>
      <c r="G11" s="7">
        <f t="shared" si="3"/>
        <v>106944.44444444444</v>
      </c>
      <c r="H11" s="7">
        <f t="shared" si="3"/>
        <v>152314.8148148148</v>
      </c>
      <c r="I11" s="1"/>
      <c r="J11" s="1"/>
      <c r="K11" s="1"/>
    </row>
    <row r="12" spans="1:11">
      <c r="B12" t="s">
        <v>12</v>
      </c>
      <c r="D12" s="7"/>
      <c r="E12" s="7">
        <f>E8</f>
        <v>200000</v>
      </c>
      <c r="F12" s="7">
        <f t="shared" ref="F12:H12" si="4">F8</f>
        <v>66666.666666666657</v>
      </c>
      <c r="G12" s="7">
        <f t="shared" si="4"/>
        <v>22222.222222222226</v>
      </c>
      <c r="H12" s="7">
        <f t="shared" si="4"/>
        <v>7407.4074074074106</v>
      </c>
      <c r="I12" s="1"/>
      <c r="J12" s="1"/>
      <c r="K12" s="1"/>
    </row>
    <row r="13" spans="1:11">
      <c r="B13" t="s">
        <v>39</v>
      </c>
      <c r="D13" s="7"/>
      <c r="E13" s="7">
        <f>E32</f>
        <v>20000</v>
      </c>
      <c r="F13" s="7">
        <f t="shared" ref="F13:H13" si="5">F32</f>
        <v>15000</v>
      </c>
      <c r="G13" s="7">
        <f t="shared" si="5"/>
        <v>25000</v>
      </c>
      <c r="H13" s="7">
        <f t="shared" si="5"/>
        <v>19000</v>
      </c>
      <c r="I13" s="1"/>
      <c r="J13" s="1"/>
      <c r="K13" s="1"/>
    </row>
    <row r="14" spans="1:11" s="2" customFormat="1">
      <c r="B14" s="2" t="s">
        <v>43</v>
      </c>
      <c r="D14" s="8">
        <f>D4</f>
        <v>-300000</v>
      </c>
      <c r="E14" s="8">
        <f>E11+E12-E13</f>
        <v>169500</v>
      </c>
      <c r="F14" s="8">
        <f t="shared" ref="F14:H14" si="6">F11+F12-F13</f>
        <v>152000</v>
      </c>
      <c r="G14" s="8">
        <f t="shared" si="6"/>
        <v>104166.66666666666</v>
      </c>
      <c r="H14" s="8">
        <f t="shared" si="6"/>
        <v>140722.22222222222</v>
      </c>
      <c r="I14" s="3"/>
      <c r="J14" s="3"/>
      <c r="K14" s="3"/>
    </row>
    <row r="15" spans="1:11" s="2" customFormat="1">
      <c r="D15" s="3"/>
      <c r="E15" s="3"/>
      <c r="F15" s="3"/>
      <c r="G15" s="3"/>
      <c r="H15" s="3"/>
      <c r="I15" s="3"/>
      <c r="J15" s="3"/>
      <c r="K15" s="3"/>
    </row>
    <row r="17" spans="2:10">
      <c r="B17" s="2" t="s">
        <v>26</v>
      </c>
    </row>
    <row r="18" spans="2:10" s="2" customFormat="1">
      <c r="B18" s="2" t="s">
        <v>7</v>
      </c>
      <c r="D18" s="2">
        <v>0</v>
      </c>
      <c r="E18" s="2">
        <v>1</v>
      </c>
      <c r="F18" s="2">
        <v>2</v>
      </c>
      <c r="G18" s="2">
        <v>3</v>
      </c>
      <c r="H18" s="2">
        <v>4</v>
      </c>
    </row>
    <row r="19" spans="2:10">
      <c r="B19" s="2" t="s">
        <v>28</v>
      </c>
    </row>
    <row r="20" spans="2:10">
      <c r="B20" s="2" t="s">
        <v>25</v>
      </c>
      <c r="D20" s="4">
        <f>1/3*2</f>
        <v>0.66666666666666663</v>
      </c>
      <c r="E20" s="4">
        <f t="shared" ref="E20:H20" si="7">1/3*2</f>
        <v>0.66666666666666663</v>
      </c>
      <c r="F20" s="4">
        <f t="shared" si="7"/>
        <v>0.66666666666666663</v>
      </c>
      <c r="G20" s="4">
        <f t="shared" si="7"/>
        <v>0.66666666666666663</v>
      </c>
      <c r="H20" s="4">
        <f t="shared" si="7"/>
        <v>0.66666666666666663</v>
      </c>
      <c r="I20" s="4"/>
      <c r="J20" s="4"/>
    </row>
    <row r="21" spans="2:10">
      <c r="B21" s="2" t="s">
        <v>14</v>
      </c>
      <c r="D21" s="7">
        <v>0</v>
      </c>
      <c r="E21" s="7">
        <f>E20*D22</f>
        <v>200000</v>
      </c>
      <c r="F21" s="7">
        <f t="shared" ref="F21:H21" si="8">F20*E22</f>
        <v>66666.666666666657</v>
      </c>
      <c r="G21" s="7">
        <f t="shared" si="8"/>
        <v>22222.222222222226</v>
      </c>
      <c r="H21" s="7">
        <f t="shared" si="8"/>
        <v>7407.4074074074106</v>
      </c>
    </row>
    <row r="22" spans="2:10">
      <c r="B22" s="2" t="s">
        <v>15</v>
      </c>
      <c r="D22" s="7">
        <v>300000</v>
      </c>
      <c r="E22" s="7">
        <f>D22-E21</f>
        <v>100000</v>
      </c>
      <c r="F22" s="7">
        <f t="shared" ref="F22:H22" si="9">E22-F21</f>
        <v>33333.333333333343</v>
      </c>
      <c r="G22" s="7">
        <f t="shared" si="9"/>
        <v>11111.111111111117</v>
      </c>
      <c r="H22" s="7">
        <f t="shared" si="9"/>
        <v>3703.7037037037062</v>
      </c>
    </row>
    <row r="23" spans="2:10">
      <c r="B23" s="2"/>
      <c r="D23" s="7"/>
      <c r="E23" s="7"/>
      <c r="F23" s="7"/>
      <c r="G23" s="7"/>
      <c r="H23" s="7"/>
    </row>
    <row r="24" spans="2:10">
      <c r="B24" s="2" t="s">
        <v>29</v>
      </c>
    </row>
    <row r="25" spans="2:10">
      <c r="B25" s="2" t="s">
        <v>7</v>
      </c>
      <c r="C25" s="2"/>
      <c r="D25" s="2">
        <v>0</v>
      </c>
      <c r="E25" s="2">
        <v>1</v>
      </c>
      <c r="F25" s="2">
        <v>2</v>
      </c>
      <c r="G25" s="2">
        <v>3</v>
      </c>
      <c r="H25" s="2">
        <v>4</v>
      </c>
    </row>
    <row r="26" spans="2:10">
      <c r="B26" s="2" t="s">
        <v>30</v>
      </c>
      <c r="D26" s="7"/>
      <c r="E26" s="7">
        <v>20000</v>
      </c>
      <c r="F26" s="7">
        <v>25000</v>
      </c>
      <c r="G26" s="7">
        <v>30000</v>
      </c>
      <c r="H26" s="7">
        <v>36000</v>
      </c>
    </row>
    <row r="27" spans="2:10">
      <c r="B27" s="2" t="s">
        <v>31</v>
      </c>
      <c r="D27" s="7"/>
      <c r="E27" s="7">
        <v>90000</v>
      </c>
      <c r="F27" s="7">
        <v>95000</v>
      </c>
      <c r="G27" s="7">
        <v>110000</v>
      </c>
      <c r="H27" s="7">
        <v>120000</v>
      </c>
    </row>
    <row r="28" spans="2:10">
      <c r="B28" s="2" t="s">
        <v>32</v>
      </c>
      <c r="D28" s="7"/>
      <c r="E28" s="7">
        <v>80000</v>
      </c>
      <c r="F28" s="7">
        <v>90000</v>
      </c>
      <c r="G28" s="7">
        <v>100000</v>
      </c>
      <c r="H28" s="7">
        <v>105000</v>
      </c>
    </row>
    <row r="29" spans="2:10">
      <c r="B29" s="2" t="s">
        <v>33</v>
      </c>
      <c r="D29" s="7"/>
      <c r="E29" s="7">
        <v>60000</v>
      </c>
      <c r="F29" s="7">
        <v>65000</v>
      </c>
      <c r="G29" s="7">
        <v>70000</v>
      </c>
      <c r="H29" s="7">
        <v>72000</v>
      </c>
    </row>
    <row r="30" spans="2:10">
      <c r="B30" s="2" t="s">
        <v>35</v>
      </c>
      <c r="D30" s="10">
        <v>110000</v>
      </c>
      <c r="E30" s="7">
        <f t="shared" ref="E30:H30" si="10">SUM(E26:E28)-E29</f>
        <v>130000</v>
      </c>
      <c r="F30" s="7">
        <f t="shared" si="10"/>
        <v>145000</v>
      </c>
      <c r="G30" s="7">
        <f t="shared" si="10"/>
        <v>170000</v>
      </c>
      <c r="H30" s="7">
        <f t="shared" si="10"/>
        <v>189000</v>
      </c>
    </row>
    <row r="31" spans="2:10">
      <c r="B31" s="9" t="s">
        <v>36</v>
      </c>
      <c r="D31" s="7"/>
      <c r="E31" s="7"/>
      <c r="F31" s="7"/>
      <c r="G31" s="7"/>
      <c r="H31" s="7"/>
    </row>
    <row r="32" spans="2:10">
      <c r="B32" s="2" t="s">
        <v>34</v>
      </c>
      <c r="D32" s="7"/>
      <c r="E32" s="7">
        <f>E30-D30</f>
        <v>20000</v>
      </c>
      <c r="F32" s="7">
        <f t="shared" ref="F32:H32" si="11">F30-E30</f>
        <v>15000</v>
      </c>
      <c r="G32" s="7">
        <f t="shared" si="11"/>
        <v>25000</v>
      </c>
      <c r="H32" s="7">
        <f t="shared" si="11"/>
        <v>19000</v>
      </c>
    </row>
    <row r="33" spans="1:8">
      <c r="B33" s="9" t="s">
        <v>37</v>
      </c>
      <c r="D33" s="7"/>
      <c r="E33" s="7"/>
      <c r="F33" s="7"/>
      <c r="G33" s="7"/>
      <c r="H33" s="7"/>
    </row>
    <row r="34" spans="1:8">
      <c r="B34" s="2"/>
      <c r="D34" s="7"/>
      <c r="E34" s="7"/>
      <c r="F34" s="7"/>
      <c r="G34" s="7"/>
      <c r="H34" s="7"/>
    </row>
    <row r="35" spans="1:8">
      <c r="B35" s="2"/>
      <c r="D35" s="7"/>
      <c r="E35" s="7"/>
      <c r="F35" s="7"/>
      <c r="G35" s="7"/>
      <c r="H35" s="7"/>
    </row>
    <row r="36" spans="1:8">
      <c r="B36" s="2" t="s">
        <v>7</v>
      </c>
      <c r="C36" s="2"/>
      <c r="D36" s="2">
        <v>0</v>
      </c>
      <c r="E36" s="2">
        <v>1</v>
      </c>
      <c r="F36" s="2">
        <v>2</v>
      </c>
      <c r="G36" s="2">
        <v>3</v>
      </c>
      <c r="H36" s="2">
        <v>4</v>
      </c>
    </row>
    <row r="37" spans="1:8">
      <c r="B37" s="2" t="s">
        <v>38</v>
      </c>
      <c r="C37" s="2"/>
      <c r="D37" s="2"/>
      <c r="E37" s="2"/>
      <c r="F37" s="2"/>
      <c r="G37" s="2"/>
      <c r="H37" s="2"/>
    </row>
    <row r="38" spans="1:8">
      <c r="B38" t="s">
        <v>41</v>
      </c>
      <c r="D38" s="7">
        <v>80000</v>
      </c>
      <c r="E38" s="7"/>
      <c r="F38" s="7"/>
      <c r="G38" s="7"/>
      <c r="H38" s="7"/>
    </row>
    <row r="39" spans="1:8">
      <c r="B39" s="2" t="s">
        <v>42</v>
      </c>
      <c r="D39" s="7"/>
      <c r="E39" s="7"/>
      <c r="F39" s="7"/>
      <c r="G39" s="7"/>
      <c r="H39" s="7"/>
    </row>
    <row r="40" spans="1:8">
      <c r="B40" t="s">
        <v>23</v>
      </c>
      <c r="D40" s="7"/>
      <c r="E40" s="7">
        <v>625000</v>
      </c>
      <c r="F40" s="7">
        <v>645000</v>
      </c>
      <c r="G40" s="7">
        <v>670000</v>
      </c>
      <c r="H40" s="7">
        <v>695000</v>
      </c>
    </row>
    <row r="41" spans="1:8">
      <c r="A41" s="2"/>
      <c r="B41" t="s">
        <v>24</v>
      </c>
      <c r="D41" s="7"/>
      <c r="E41" s="7">
        <v>580000</v>
      </c>
      <c r="F41" s="7">
        <v>595000</v>
      </c>
      <c r="G41" s="7">
        <v>610000</v>
      </c>
      <c r="H41" s="7">
        <v>630000</v>
      </c>
    </row>
    <row r="42" spans="1:8">
      <c r="B42" t="s">
        <v>0</v>
      </c>
      <c r="D42" s="7"/>
      <c r="E42" s="7">
        <f>E40-E41</f>
        <v>45000</v>
      </c>
      <c r="F42" s="7">
        <f t="shared" ref="F42" si="12">F40-F41</f>
        <v>50000</v>
      </c>
      <c r="G42" s="7">
        <f t="shared" ref="G42" si="13">G40-G41</f>
        <v>60000</v>
      </c>
      <c r="H42" s="7">
        <f t="shared" ref="H42" si="14">H40-H41</f>
        <v>65000</v>
      </c>
    </row>
    <row r="43" spans="1:8">
      <c r="B43" t="s">
        <v>6</v>
      </c>
      <c r="D43" s="7"/>
      <c r="E43" s="7">
        <v>0</v>
      </c>
      <c r="F43" s="7">
        <v>0</v>
      </c>
      <c r="G43" s="7">
        <v>0</v>
      </c>
      <c r="H43" s="7">
        <v>0</v>
      </c>
    </row>
    <row r="44" spans="1:8">
      <c r="B44" t="s">
        <v>2</v>
      </c>
      <c r="D44" s="7"/>
      <c r="E44" s="7">
        <f>E42-E43</f>
        <v>45000</v>
      </c>
      <c r="F44" s="7">
        <f t="shared" ref="F44" si="15">F42-F43</f>
        <v>50000</v>
      </c>
      <c r="G44" s="7">
        <f t="shared" ref="G44" si="16">G42-G43</f>
        <v>60000</v>
      </c>
      <c r="H44" s="7">
        <f t="shared" ref="H44" si="17">H42-H43</f>
        <v>65000</v>
      </c>
    </row>
    <row r="45" spans="1:8">
      <c r="B45" t="s">
        <v>16</v>
      </c>
      <c r="D45" s="7"/>
      <c r="E45" s="7">
        <f>E44*0.3</f>
        <v>13500</v>
      </c>
      <c r="F45" s="7">
        <f t="shared" ref="F45" si="18">F44*0.3</f>
        <v>15000</v>
      </c>
      <c r="G45" s="7">
        <f t="shared" ref="G45" si="19">G44*0.3</f>
        <v>18000</v>
      </c>
      <c r="H45" s="7">
        <f t="shared" ref="H45" si="20">H44*0.3</f>
        <v>19500</v>
      </c>
    </row>
    <row r="46" spans="1:8">
      <c r="B46" t="s">
        <v>3</v>
      </c>
      <c r="D46" s="7"/>
      <c r="E46" s="7">
        <f>E44-E45</f>
        <v>31500</v>
      </c>
      <c r="F46" s="7">
        <f t="shared" ref="F46" si="21">F44-F45</f>
        <v>35000</v>
      </c>
      <c r="G46" s="7">
        <f t="shared" ref="G46" si="22">G44-G45</f>
        <v>42000</v>
      </c>
      <c r="H46" s="7">
        <f t="shared" ref="H46" si="23">H44-H45</f>
        <v>45500</v>
      </c>
    </row>
    <row r="47" spans="1:8">
      <c r="B47" t="s">
        <v>12</v>
      </c>
      <c r="D47" s="7"/>
      <c r="E47" s="7">
        <f>E43</f>
        <v>0</v>
      </c>
      <c r="F47" s="7">
        <f t="shared" ref="F47:H47" si="24">F43</f>
        <v>0</v>
      </c>
      <c r="G47" s="7">
        <f t="shared" si="24"/>
        <v>0</v>
      </c>
      <c r="H47" s="7">
        <f t="shared" si="24"/>
        <v>0</v>
      </c>
    </row>
    <row r="48" spans="1:8">
      <c r="B48" t="s">
        <v>39</v>
      </c>
      <c r="D48" s="7"/>
      <c r="E48" s="7">
        <f>E60</f>
        <v>12000</v>
      </c>
      <c r="F48" s="7">
        <f t="shared" ref="F48:H48" si="25">F60</f>
        <v>5000</v>
      </c>
      <c r="G48" s="7">
        <f t="shared" si="25"/>
        <v>5000</v>
      </c>
      <c r="H48" s="7">
        <f t="shared" si="25"/>
        <v>3000</v>
      </c>
    </row>
    <row r="49" spans="2:8">
      <c r="B49" s="2" t="s">
        <v>43</v>
      </c>
      <c r="C49" s="2"/>
      <c r="D49" s="8"/>
      <c r="E49" s="8">
        <f>E46+E47-E48</f>
        <v>19500</v>
      </c>
      <c r="F49" s="8">
        <f t="shared" ref="F49" si="26">F46+F47-F48</f>
        <v>30000</v>
      </c>
      <c r="G49" s="8">
        <f t="shared" ref="G49" si="27">G46+G47-G48</f>
        <v>37000</v>
      </c>
      <c r="H49" s="8">
        <f t="shared" ref="H49" si="28">H46+H47-H48</f>
        <v>42500</v>
      </c>
    </row>
    <row r="50" spans="2:8">
      <c r="B50" s="2"/>
      <c r="C50" s="2"/>
      <c r="D50" s="3"/>
      <c r="E50" s="3"/>
      <c r="F50" s="3"/>
      <c r="G50" s="3"/>
      <c r="H50" s="3"/>
    </row>
    <row r="51" spans="2:8">
      <c r="B51" s="2"/>
      <c r="D51" s="7"/>
      <c r="E51" s="7"/>
      <c r="F51" s="7"/>
      <c r="G51" s="7"/>
      <c r="H51" s="7"/>
    </row>
    <row r="52" spans="2:8">
      <c r="B52" s="2" t="s">
        <v>40</v>
      </c>
    </row>
    <row r="53" spans="2:8">
      <c r="B53" s="2" t="s">
        <v>7</v>
      </c>
      <c r="C53" s="2"/>
      <c r="D53" s="2">
        <v>0</v>
      </c>
      <c r="E53" s="2">
        <v>1</v>
      </c>
      <c r="F53" s="2">
        <v>2</v>
      </c>
      <c r="G53" s="2">
        <v>3</v>
      </c>
      <c r="H53" s="2">
        <v>4</v>
      </c>
    </row>
    <row r="54" spans="2:8">
      <c r="B54" s="2" t="s">
        <v>30</v>
      </c>
      <c r="D54" s="7"/>
      <c r="E54" s="7">
        <v>15000</v>
      </c>
      <c r="F54" s="7">
        <v>15000</v>
      </c>
      <c r="G54" s="7">
        <v>15000</v>
      </c>
      <c r="H54" s="7">
        <v>15000</v>
      </c>
    </row>
    <row r="55" spans="2:8">
      <c r="B55" s="2" t="s">
        <v>31</v>
      </c>
      <c r="D55" s="7"/>
      <c r="E55" s="7">
        <v>60000</v>
      </c>
      <c r="F55" s="7">
        <v>64000</v>
      </c>
      <c r="G55" s="7">
        <v>68000</v>
      </c>
      <c r="H55" s="7">
        <v>70000</v>
      </c>
    </row>
    <row r="56" spans="2:8">
      <c r="B56" s="2" t="s">
        <v>32</v>
      </c>
      <c r="D56" s="7"/>
      <c r="E56" s="7">
        <v>45000</v>
      </c>
      <c r="F56" s="7">
        <v>48000</v>
      </c>
      <c r="G56" s="7">
        <v>52000</v>
      </c>
      <c r="H56" s="7">
        <v>55000</v>
      </c>
    </row>
    <row r="57" spans="2:8">
      <c r="B57" s="2" t="s">
        <v>33</v>
      </c>
      <c r="D57" s="7"/>
      <c r="E57" s="7">
        <v>33000</v>
      </c>
      <c r="F57" s="7">
        <v>35000</v>
      </c>
      <c r="G57" s="7">
        <v>38000</v>
      </c>
      <c r="H57" s="7">
        <v>40000</v>
      </c>
    </row>
    <row r="58" spans="2:8">
      <c r="B58" s="2" t="s">
        <v>35</v>
      </c>
      <c r="D58" s="10">
        <v>75000</v>
      </c>
      <c r="E58" s="7">
        <f t="shared" ref="E58" si="29">SUM(E54:E56)-E57</f>
        <v>87000</v>
      </c>
      <c r="F58" s="7">
        <f t="shared" ref="F58" si="30">SUM(F54:F56)-F57</f>
        <v>92000</v>
      </c>
      <c r="G58" s="7">
        <f t="shared" ref="G58" si="31">SUM(G54:G56)-G57</f>
        <v>97000</v>
      </c>
      <c r="H58" s="7">
        <f t="shared" ref="H58" si="32">SUM(H54:H56)-H57</f>
        <v>100000</v>
      </c>
    </row>
    <row r="59" spans="2:8">
      <c r="B59" s="9" t="s">
        <v>36</v>
      </c>
      <c r="D59" s="7"/>
      <c r="E59" s="7"/>
      <c r="F59" s="7"/>
      <c r="G59" s="7"/>
      <c r="H59" s="7"/>
    </row>
    <row r="60" spans="2:8">
      <c r="B60" s="2" t="s">
        <v>34</v>
      </c>
      <c r="D60" s="7"/>
      <c r="E60" s="7">
        <f>E58-D58</f>
        <v>12000</v>
      </c>
      <c r="F60" s="7">
        <f t="shared" ref="F60:H60" si="33">F58-E58</f>
        <v>5000</v>
      </c>
      <c r="G60" s="7">
        <f t="shared" si="33"/>
        <v>5000</v>
      </c>
      <c r="H60" s="7">
        <f t="shared" si="33"/>
        <v>3000</v>
      </c>
    </row>
    <row r="61" spans="2:8">
      <c r="B61" s="9" t="s">
        <v>37</v>
      </c>
      <c r="D61" s="7"/>
      <c r="E61" s="7"/>
      <c r="F61" s="7"/>
      <c r="G61" s="7"/>
      <c r="H61" s="7"/>
    </row>
    <row r="62" spans="2:8">
      <c r="B62" s="9"/>
      <c r="D62" s="7"/>
      <c r="E62" s="7"/>
      <c r="F62" s="7"/>
      <c r="G62" s="7"/>
      <c r="H62" s="7"/>
    </row>
    <row r="63" spans="2:8">
      <c r="B63" s="2"/>
      <c r="D63" s="7"/>
      <c r="E63" s="7"/>
      <c r="F63" s="7"/>
      <c r="G63" s="7"/>
      <c r="H63" s="7"/>
    </row>
    <row r="64" spans="2:8" s="2" customFormat="1">
      <c r="B64" s="2" t="s">
        <v>44</v>
      </c>
      <c r="D64" s="8">
        <f>D14+D38</f>
        <v>-220000</v>
      </c>
      <c r="E64" s="8">
        <f t="shared" ref="E64:H64" si="34">E14-E49</f>
        <v>150000</v>
      </c>
      <c r="F64" s="8">
        <f t="shared" si="34"/>
        <v>122000</v>
      </c>
      <c r="G64" s="8">
        <f t="shared" si="34"/>
        <v>67166.666666666657</v>
      </c>
      <c r="H64" s="8">
        <f t="shared" si="34"/>
        <v>98222.222222222219</v>
      </c>
    </row>
    <row r="65" spans="1:8">
      <c r="B65" s="9" t="s">
        <v>45</v>
      </c>
      <c r="D65" s="7"/>
      <c r="E65" s="7"/>
      <c r="F65" s="7"/>
      <c r="G65" s="7"/>
      <c r="H65" s="7"/>
    </row>
    <row r="66" spans="1:8">
      <c r="B66" s="2"/>
      <c r="D66" s="7"/>
      <c r="E66" s="7"/>
      <c r="F66" s="7"/>
      <c r="G66" s="7"/>
      <c r="H66" s="7"/>
    </row>
    <row r="67" spans="1:8" s="2" customFormat="1">
      <c r="A67" s="78" t="s">
        <v>126</v>
      </c>
      <c r="B67" s="2" t="s">
        <v>7</v>
      </c>
      <c r="D67" s="2">
        <v>0</v>
      </c>
      <c r="E67" s="2">
        <v>1</v>
      </c>
      <c r="F67" s="2">
        <v>2</v>
      </c>
      <c r="G67" s="2">
        <v>3</v>
      </c>
      <c r="H67" s="2">
        <v>4</v>
      </c>
    </row>
    <row r="68" spans="1:8">
      <c r="B68" s="2" t="s">
        <v>46</v>
      </c>
      <c r="D68" s="10">
        <f>D64</f>
        <v>-220000</v>
      </c>
      <c r="E68" s="10">
        <f t="shared" ref="E68:G68" si="35">E64</f>
        <v>150000</v>
      </c>
      <c r="F68" s="10">
        <f t="shared" si="35"/>
        <v>122000</v>
      </c>
      <c r="G68" s="10">
        <f t="shared" si="35"/>
        <v>67166.666666666657</v>
      </c>
      <c r="H68" s="10">
        <v>868888</v>
      </c>
    </row>
    <row r="71" spans="1:8">
      <c r="A71" s="78" t="s">
        <v>125</v>
      </c>
      <c r="B71" s="2" t="s">
        <v>47</v>
      </c>
      <c r="D71" s="12">
        <f>NPV(0.15,E68:H68)+D68</f>
        <v>543637.01768742513</v>
      </c>
    </row>
    <row r="72" spans="1:8">
      <c r="B72" s="2" t="s">
        <v>20</v>
      </c>
      <c r="D72" s="11">
        <f>IRR(D68:H68)</f>
        <v>0.78407520443176515</v>
      </c>
    </row>
    <row r="73" spans="1:8">
      <c r="D73" s="6"/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E27"/>
  <sheetViews>
    <sheetView workbookViewId="0">
      <selection activeCell="A15" sqref="A15"/>
    </sheetView>
  </sheetViews>
  <sheetFormatPr defaultRowHeight="15"/>
  <cols>
    <col min="2" max="2" width="11.42578125" bestFit="1" customWidth="1"/>
    <col min="3" max="3" width="25.5703125" bestFit="1" customWidth="1"/>
    <col min="5" max="7" width="11.5703125" style="13" bestFit="1" customWidth="1"/>
    <col min="8" max="8" width="10" style="13" bestFit="1" customWidth="1"/>
    <col min="9" max="9" width="11.5703125" style="13" bestFit="1" customWidth="1"/>
    <col min="10" max="12" width="10" style="13" bestFit="1" customWidth="1"/>
    <col min="13" max="13" width="11.5703125" style="13" bestFit="1" customWidth="1"/>
    <col min="14" max="24" width="10" style="13" bestFit="1" customWidth="1"/>
    <col min="25" max="25" width="8.7109375" style="13"/>
    <col min="26" max="26" width="10" style="13" bestFit="1" customWidth="1"/>
    <col min="27" max="31" width="8.7109375" style="13"/>
  </cols>
  <sheetData>
    <row r="2" spans="1:31">
      <c r="A2" s="78" t="s">
        <v>53</v>
      </c>
    </row>
    <row r="3" spans="1:31" s="2" customFormat="1">
      <c r="C3" s="2" t="s">
        <v>7</v>
      </c>
      <c r="D3" s="2">
        <v>0</v>
      </c>
      <c r="E3" s="15">
        <v>1</v>
      </c>
      <c r="F3" s="15">
        <v>2</v>
      </c>
      <c r="G3" s="15">
        <v>3</v>
      </c>
      <c r="H3" s="14"/>
      <c r="I3" s="14" t="s">
        <v>48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</row>
    <row r="4" spans="1:31">
      <c r="B4" t="s">
        <v>52</v>
      </c>
      <c r="C4" s="13">
        <v>5000000</v>
      </c>
    </row>
    <row r="5" spans="1:31">
      <c r="B5" t="s">
        <v>51</v>
      </c>
      <c r="C5">
        <v>3</v>
      </c>
    </row>
    <row r="6" spans="1:31">
      <c r="C6" t="s">
        <v>1</v>
      </c>
      <c r="D6" s="13"/>
      <c r="E6" s="13">
        <f>$C4/$C5</f>
        <v>1666666.6666666667</v>
      </c>
      <c r="F6" s="13">
        <f t="shared" ref="F6:G6" si="0">$C4/$C5</f>
        <v>1666666.6666666667</v>
      </c>
      <c r="G6" s="13">
        <f t="shared" si="0"/>
        <v>1666666.6666666667</v>
      </c>
    </row>
    <row r="7" spans="1:31">
      <c r="C7" t="s">
        <v>54</v>
      </c>
      <c r="D7" s="13"/>
      <c r="E7" s="13">
        <f>E6*(0.3)</f>
        <v>500000</v>
      </c>
      <c r="F7" s="13">
        <f t="shared" ref="F7:G7" si="1">F6*(0.3)</f>
        <v>500000</v>
      </c>
      <c r="G7" s="13">
        <f t="shared" si="1"/>
        <v>500000</v>
      </c>
    </row>
    <row r="8" spans="1:31">
      <c r="B8" t="s">
        <v>50</v>
      </c>
      <c r="C8" s="4">
        <v>0.1</v>
      </c>
      <c r="D8" s="13"/>
    </row>
    <row r="9" spans="1:31" s="2" customFormat="1">
      <c r="C9" s="2" t="s">
        <v>49</v>
      </c>
      <c r="D9" s="14"/>
      <c r="E9" s="14">
        <f>E7/((1+$C8)^E3)</f>
        <v>454545.45454545453</v>
      </c>
      <c r="F9" s="14">
        <f>F7/((1+$C8)^F3)</f>
        <v>413223.1404958677</v>
      </c>
      <c r="G9" s="14">
        <f>G7/((1+$C8)^G3)</f>
        <v>375657.40045078879</v>
      </c>
      <c r="H9" s="14"/>
      <c r="I9" s="14">
        <f>SUM(E9:G9)</f>
        <v>1243425.995492111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</row>
    <row r="11" spans="1:31">
      <c r="A11" s="78" t="s">
        <v>55</v>
      </c>
    </row>
    <row r="12" spans="1:31" s="2" customFormat="1">
      <c r="C12" s="2" t="s">
        <v>7</v>
      </c>
      <c r="D12" s="2">
        <v>0</v>
      </c>
      <c r="E12" s="15">
        <v>1</v>
      </c>
      <c r="F12" s="15">
        <v>2</v>
      </c>
      <c r="G12" s="15">
        <v>3</v>
      </c>
      <c r="H12" s="15">
        <v>4</v>
      </c>
      <c r="I12" s="15">
        <v>5</v>
      </c>
      <c r="J12" s="15">
        <v>6</v>
      </c>
      <c r="K12" s="15">
        <v>7</v>
      </c>
      <c r="L12" s="14"/>
      <c r="M12" s="14" t="s">
        <v>48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</row>
    <row r="13" spans="1:31">
      <c r="B13" t="s">
        <v>52</v>
      </c>
      <c r="C13" s="13">
        <v>5000000</v>
      </c>
    </row>
    <row r="14" spans="1:31">
      <c r="B14" t="s">
        <v>51</v>
      </c>
      <c r="C14">
        <v>7</v>
      </c>
    </row>
    <row r="15" spans="1:31">
      <c r="C15" t="s">
        <v>1</v>
      </c>
      <c r="D15" s="13"/>
      <c r="E15" s="13">
        <f>$C13/$C14</f>
        <v>714285.71428571432</v>
      </c>
      <c r="F15" s="13">
        <f t="shared" ref="F15" si="2">$C13/$C14</f>
        <v>714285.71428571432</v>
      </c>
      <c r="G15" s="13">
        <f t="shared" ref="G15" si="3">$C13/$C14</f>
        <v>714285.71428571432</v>
      </c>
      <c r="H15" s="13">
        <f t="shared" ref="H15" si="4">$C13/$C14</f>
        <v>714285.71428571432</v>
      </c>
      <c r="I15" s="13">
        <f t="shared" ref="I15" si="5">$C13/$C14</f>
        <v>714285.71428571432</v>
      </c>
      <c r="J15" s="13">
        <f t="shared" ref="J15" si="6">$C13/$C14</f>
        <v>714285.71428571432</v>
      </c>
      <c r="K15" s="13">
        <f t="shared" ref="K15" si="7">$C13/$C14</f>
        <v>714285.71428571432</v>
      </c>
    </row>
    <row r="16" spans="1:31">
      <c r="C16" t="s">
        <v>54</v>
      </c>
      <c r="D16" s="13"/>
      <c r="E16" s="13">
        <f>E15*(0.3)</f>
        <v>214285.71428571429</v>
      </c>
      <c r="F16" s="13">
        <f t="shared" ref="F16" si="8">F15*(0.3)</f>
        <v>214285.71428571429</v>
      </c>
      <c r="G16" s="13">
        <f t="shared" ref="G16" si="9">G15*(0.3)</f>
        <v>214285.71428571429</v>
      </c>
      <c r="H16" s="13">
        <f t="shared" ref="H16" si="10">H15*(0.3)</f>
        <v>214285.71428571429</v>
      </c>
      <c r="I16" s="13">
        <f t="shared" ref="I16" si="11">I15*(0.3)</f>
        <v>214285.71428571429</v>
      </c>
      <c r="J16" s="13">
        <f t="shared" ref="J16" si="12">J15*(0.3)</f>
        <v>214285.71428571429</v>
      </c>
      <c r="K16" s="13">
        <f t="shared" ref="K16" si="13">K15*(0.3)</f>
        <v>214285.71428571429</v>
      </c>
    </row>
    <row r="17" spans="1:31">
      <c r="B17" t="s">
        <v>50</v>
      </c>
      <c r="C17" s="4">
        <v>0.1</v>
      </c>
      <c r="D17" s="13"/>
    </row>
    <row r="18" spans="1:31" s="2" customFormat="1">
      <c r="C18" s="2" t="s">
        <v>49</v>
      </c>
      <c r="D18" s="14"/>
      <c r="E18" s="14">
        <f>E16/((1+$C17)^E12)</f>
        <v>194805.1948051948</v>
      </c>
      <c r="F18" s="14">
        <f>F16/((1+$C17)^F12)</f>
        <v>177095.63164108616</v>
      </c>
      <c r="G18" s="14">
        <f>G16/((1+$C17)^G12)</f>
        <v>160996.02876462377</v>
      </c>
      <c r="H18" s="14">
        <f t="shared" ref="H18:K18" si="14">H16/((1+$C17)^H12)</f>
        <v>146360.02614965796</v>
      </c>
      <c r="I18" s="14">
        <f t="shared" si="14"/>
        <v>133054.56922696179</v>
      </c>
      <c r="J18" s="14">
        <f t="shared" si="14"/>
        <v>120958.69929723797</v>
      </c>
      <c r="K18" s="14">
        <f t="shared" si="14"/>
        <v>109962.45390657995</v>
      </c>
      <c r="L18" s="14"/>
      <c r="M18" s="14">
        <f>SUM(E18:L18)</f>
        <v>1043232.6037913425</v>
      </c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</row>
    <row r="20" spans="1:31">
      <c r="A20" s="78" t="s">
        <v>127</v>
      </c>
    </row>
    <row r="21" spans="1:31" s="2" customFormat="1">
      <c r="C21" s="2" t="s">
        <v>7</v>
      </c>
      <c r="D21" s="2">
        <v>0</v>
      </c>
      <c r="E21" s="15">
        <v>1</v>
      </c>
      <c r="F21" s="15">
        <v>2</v>
      </c>
      <c r="G21" s="15">
        <v>3</v>
      </c>
      <c r="H21" s="15">
        <v>4</v>
      </c>
      <c r="I21" s="15">
        <v>5</v>
      </c>
      <c r="J21" s="15">
        <v>6</v>
      </c>
      <c r="K21" s="15">
        <v>7</v>
      </c>
      <c r="L21" s="15">
        <v>8</v>
      </c>
      <c r="M21" s="15">
        <v>9</v>
      </c>
      <c r="N21" s="15">
        <v>10</v>
      </c>
      <c r="O21" s="15">
        <v>11</v>
      </c>
      <c r="P21" s="15">
        <v>12</v>
      </c>
      <c r="Q21" s="15">
        <v>13</v>
      </c>
      <c r="R21" s="15">
        <v>14</v>
      </c>
      <c r="S21" s="15">
        <v>15</v>
      </c>
      <c r="T21" s="15">
        <v>16</v>
      </c>
      <c r="U21" s="15">
        <v>17</v>
      </c>
      <c r="V21" s="15">
        <v>18</v>
      </c>
      <c r="W21" s="15">
        <v>19</v>
      </c>
      <c r="X21" s="15">
        <v>20</v>
      </c>
      <c r="Y21" s="15"/>
      <c r="Z21" s="14" t="s">
        <v>48</v>
      </c>
      <c r="AA21" s="14"/>
      <c r="AB21" s="14"/>
      <c r="AC21" s="14"/>
      <c r="AD21" s="14"/>
      <c r="AE21" s="14"/>
    </row>
    <row r="22" spans="1:31">
      <c r="B22" t="s">
        <v>52</v>
      </c>
      <c r="C22" s="13">
        <v>5000000</v>
      </c>
    </row>
    <row r="23" spans="1:31">
      <c r="B23" t="s">
        <v>51</v>
      </c>
      <c r="C23">
        <v>20</v>
      </c>
    </row>
    <row r="24" spans="1:31">
      <c r="C24" t="s">
        <v>1</v>
      </c>
      <c r="D24" s="13"/>
      <c r="E24" s="13">
        <f>$C22/$C23</f>
        <v>250000</v>
      </c>
      <c r="F24" s="13">
        <f t="shared" ref="F24" si="15">$C22/$C23</f>
        <v>250000</v>
      </c>
      <c r="G24" s="13">
        <f t="shared" ref="G24" si="16">$C22/$C23</f>
        <v>250000</v>
      </c>
      <c r="H24" s="13">
        <f t="shared" ref="H24" si="17">$C22/$C23</f>
        <v>250000</v>
      </c>
      <c r="I24" s="13">
        <f t="shared" ref="I24" si="18">$C22/$C23</f>
        <v>250000</v>
      </c>
      <c r="J24" s="13">
        <f t="shared" ref="J24" si="19">$C22/$C23</f>
        <v>250000</v>
      </c>
      <c r="K24" s="13">
        <f t="shared" ref="K24" si="20">$C22/$C23</f>
        <v>250000</v>
      </c>
      <c r="L24" s="13">
        <f t="shared" ref="L24" si="21">$C22/$C23</f>
        <v>250000</v>
      </c>
      <c r="M24" s="13">
        <f t="shared" ref="M24" si="22">$C22/$C23</f>
        <v>250000</v>
      </c>
      <c r="N24" s="13">
        <f t="shared" ref="N24" si="23">$C22/$C23</f>
        <v>250000</v>
      </c>
      <c r="O24" s="13">
        <f t="shared" ref="O24" si="24">$C22/$C23</f>
        <v>250000</v>
      </c>
      <c r="P24" s="13">
        <f t="shared" ref="P24" si="25">$C22/$C23</f>
        <v>250000</v>
      </c>
      <c r="Q24" s="13">
        <f t="shared" ref="Q24" si="26">$C22/$C23</f>
        <v>250000</v>
      </c>
      <c r="R24" s="13">
        <f t="shared" ref="R24" si="27">$C22/$C23</f>
        <v>250000</v>
      </c>
      <c r="S24" s="13">
        <f t="shared" ref="S24" si="28">$C22/$C23</f>
        <v>250000</v>
      </c>
      <c r="T24" s="13">
        <f t="shared" ref="T24" si="29">$C22/$C23</f>
        <v>250000</v>
      </c>
      <c r="U24" s="13">
        <f t="shared" ref="U24" si="30">$C22/$C23</f>
        <v>250000</v>
      </c>
      <c r="V24" s="13">
        <f t="shared" ref="V24" si="31">$C22/$C23</f>
        <v>250000</v>
      </c>
      <c r="W24" s="13">
        <f t="shared" ref="W24" si="32">$C22/$C23</f>
        <v>250000</v>
      </c>
      <c r="X24" s="13">
        <f t="shared" ref="X24" si="33">$C22/$C23</f>
        <v>250000</v>
      </c>
    </row>
    <row r="25" spans="1:31">
      <c r="C25" t="s">
        <v>54</v>
      </c>
      <c r="D25" s="13"/>
      <c r="E25" s="13">
        <f>E24*(0.3)</f>
        <v>75000</v>
      </c>
      <c r="F25" s="13">
        <f t="shared" ref="F25" si="34">F24*(0.3)</f>
        <v>75000</v>
      </c>
      <c r="G25" s="13">
        <f t="shared" ref="G25" si="35">G24*(0.3)</f>
        <v>75000</v>
      </c>
      <c r="H25" s="13">
        <f t="shared" ref="H25" si="36">H24*(0.3)</f>
        <v>75000</v>
      </c>
      <c r="I25" s="13">
        <f t="shared" ref="I25" si="37">I24*(0.3)</f>
        <v>75000</v>
      </c>
      <c r="J25" s="13">
        <f t="shared" ref="J25" si="38">J24*(0.3)</f>
        <v>75000</v>
      </c>
      <c r="K25" s="13">
        <f t="shared" ref="K25" si="39">K24*(0.3)</f>
        <v>75000</v>
      </c>
      <c r="L25" s="13">
        <f t="shared" ref="L25" si="40">L24*(0.3)</f>
        <v>75000</v>
      </c>
      <c r="M25" s="13">
        <f t="shared" ref="M25" si="41">M24*(0.3)</f>
        <v>75000</v>
      </c>
      <c r="N25" s="13">
        <f t="shared" ref="N25" si="42">N24*(0.3)</f>
        <v>75000</v>
      </c>
      <c r="O25" s="13">
        <f t="shared" ref="O25" si="43">O24*(0.3)</f>
        <v>75000</v>
      </c>
      <c r="P25" s="13">
        <f t="shared" ref="P25" si="44">P24*(0.3)</f>
        <v>75000</v>
      </c>
      <c r="Q25" s="13">
        <f t="shared" ref="Q25" si="45">Q24*(0.3)</f>
        <v>75000</v>
      </c>
      <c r="R25" s="13">
        <f t="shared" ref="R25" si="46">R24*(0.3)</f>
        <v>75000</v>
      </c>
      <c r="S25" s="13">
        <f t="shared" ref="S25" si="47">S24*(0.3)</f>
        <v>75000</v>
      </c>
      <c r="T25" s="13">
        <f t="shared" ref="T25" si="48">T24*(0.3)</f>
        <v>75000</v>
      </c>
      <c r="U25" s="13">
        <f t="shared" ref="U25" si="49">U24*(0.3)</f>
        <v>75000</v>
      </c>
      <c r="V25" s="13">
        <f t="shared" ref="V25" si="50">V24*(0.3)</f>
        <v>75000</v>
      </c>
      <c r="W25" s="13">
        <f t="shared" ref="W25" si="51">W24*(0.3)</f>
        <v>75000</v>
      </c>
      <c r="X25" s="13">
        <f t="shared" ref="X25" si="52">X24*(0.3)</f>
        <v>75000</v>
      </c>
    </row>
    <row r="26" spans="1:31">
      <c r="B26" t="s">
        <v>50</v>
      </c>
      <c r="C26" s="4">
        <v>0.1</v>
      </c>
      <c r="D26" s="13"/>
    </row>
    <row r="27" spans="1:31" s="2" customFormat="1">
      <c r="C27" s="2" t="s">
        <v>49</v>
      </c>
      <c r="D27" s="14"/>
      <c r="E27" s="14">
        <f>E25/((1+$C26)^E21)</f>
        <v>68181.818181818177</v>
      </c>
      <c r="F27" s="14">
        <f>F25/((1+$C26)^F21)</f>
        <v>61983.471074380155</v>
      </c>
      <c r="G27" s="14">
        <f>G25/((1+$C26)^G21)</f>
        <v>56348.610067618312</v>
      </c>
      <c r="H27" s="14">
        <f t="shared" ref="H27" si="53">H25/((1+$C26)^H21)</f>
        <v>51226.009152380291</v>
      </c>
      <c r="I27" s="14">
        <f t="shared" ref="I27" si="54">I25/((1+$C26)^I21)</f>
        <v>46569.099229436622</v>
      </c>
      <c r="J27" s="14">
        <f t="shared" ref="J27" si="55">J25/((1+$C26)^J21)</f>
        <v>42335.54475403329</v>
      </c>
      <c r="K27" s="14">
        <f t="shared" ref="K27" si="56">K25/((1+$C26)^K21)</f>
        <v>38486.858867302981</v>
      </c>
      <c r="L27" s="14">
        <f t="shared" ref="L27" si="57">L25/((1+$C26)^L21)</f>
        <v>34988.053515729989</v>
      </c>
      <c r="M27" s="14">
        <f t="shared" ref="M27" si="58">M25/((1+$C26)^M21)</f>
        <v>31807.32137793635</v>
      </c>
      <c r="N27" s="14">
        <f t="shared" ref="N27" si="59">N25/((1+$C26)^N21)</f>
        <v>28915.746707214861</v>
      </c>
      <c r="O27" s="14">
        <f t="shared" ref="O27" si="60">O25/((1+$C26)^O21)</f>
        <v>26287.042461104415</v>
      </c>
      <c r="P27" s="14">
        <f t="shared" ref="P27" si="61">P25/((1+$C26)^P21)</f>
        <v>23897.311328276741</v>
      </c>
      <c r="Q27" s="14">
        <f t="shared" ref="Q27" si="62">Q25/((1+$C26)^Q21)</f>
        <v>21724.828480251585</v>
      </c>
      <c r="R27" s="14">
        <f t="shared" ref="R27" si="63">R25/((1+$C26)^R21)</f>
        <v>19749.844072955981</v>
      </c>
      <c r="S27" s="14">
        <f t="shared" ref="S27" si="64">S25/((1+$C26)^S21)</f>
        <v>17954.403702687254</v>
      </c>
      <c r="T27" s="14">
        <f t="shared" ref="T27" si="65">T25/((1+$C26)^T21)</f>
        <v>16322.18518426114</v>
      </c>
      <c r="U27" s="14">
        <f t="shared" ref="U27" si="66">U25/((1+$C26)^U21)</f>
        <v>14838.350167510127</v>
      </c>
      <c r="V27" s="14">
        <f t="shared" ref="V27" si="67">V25/((1+$C26)^V21)</f>
        <v>13489.409243191023</v>
      </c>
      <c r="W27" s="14">
        <f t="shared" ref="W27" si="68">W25/((1+$C26)^W21)</f>
        <v>12263.099311991837</v>
      </c>
      <c r="X27" s="14">
        <f t="shared" ref="X27" si="69">X25/((1+$C26)^X21)</f>
        <v>11148.272101810762</v>
      </c>
      <c r="Y27" s="14"/>
      <c r="Z27" s="14">
        <f>SUM(E27:X27)</f>
        <v>638517.27898189193</v>
      </c>
      <c r="AA27" s="14"/>
      <c r="AB27" s="14"/>
      <c r="AC27" s="14"/>
      <c r="AD27" s="14"/>
      <c r="AE27" s="14"/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1"/>
  <sheetViews>
    <sheetView workbookViewId="0"/>
  </sheetViews>
  <sheetFormatPr defaultRowHeight="15"/>
  <cols>
    <col min="2" max="2" width="65.28515625" customWidth="1"/>
    <col min="3" max="3" width="4.42578125" customWidth="1"/>
  </cols>
  <sheetData>
    <row r="1" spans="1:10" s="2" customFormat="1">
      <c r="A1" s="78" t="s">
        <v>56</v>
      </c>
      <c r="G1" s="2" t="s">
        <v>8</v>
      </c>
    </row>
    <row r="2" spans="1:10" s="2" customFormat="1">
      <c r="B2" s="2" t="s">
        <v>7</v>
      </c>
      <c r="D2" s="2">
        <v>0</v>
      </c>
      <c r="E2" s="2">
        <v>1</v>
      </c>
      <c r="F2" s="2">
        <v>2</v>
      </c>
      <c r="G2" s="2">
        <v>3</v>
      </c>
      <c r="H2" s="2">
        <v>4</v>
      </c>
      <c r="I2" s="2">
        <v>5</v>
      </c>
      <c r="J2" s="2">
        <v>6</v>
      </c>
    </row>
    <row r="4" spans="1:10">
      <c r="B4" s="16" t="s">
        <v>61</v>
      </c>
    </row>
    <row r="5" spans="1:10" s="2" customFormat="1">
      <c r="B5" s="2" t="s">
        <v>7</v>
      </c>
      <c r="D5" s="2">
        <v>0</v>
      </c>
      <c r="E5" s="2">
        <v>1</v>
      </c>
      <c r="F5" s="2">
        <v>2</v>
      </c>
      <c r="G5" s="2">
        <v>3</v>
      </c>
      <c r="H5" s="2">
        <v>4</v>
      </c>
      <c r="I5" s="2">
        <v>5</v>
      </c>
      <c r="J5" s="2">
        <v>6</v>
      </c>
    </row>
    <row r="6" spans="1:10">
      <c r="B6" s="2" t="s">
        <v>27</v>
      </c>
    </row>
    <row r="7" spans="1:10">
      <c r="B7" s="2" t="s">
        <v>13</v>
      </c>
      <c r="D7" s="4">
        <f>1/5*2</f>
        <v>0.4</v>
      </c>
      <c r="E7" s="4">
        <f t="shared" ref="E7:J7" si="0">1/5*2</f>
        <v>0.4</v>
      </c>
      <c r="F7" s="4">
        <f t="shared" si="0"/>
        <v>0.4</v>
      </c>
      <c r="G7" s="4">
        <f t="shared" si="0"/>
        <v>0.4</v>
      </c>
      <c r="H7" s="4">
        <f t="shared" si="0"/>
        <v>0.4</v>
      </c>
      <c r="I7" s="4">
        <f t="shared" si="0"/>
        <v>0.4</v>
      </c>
      <c r="J7" s="4">
        <f t="shared" si="0"/>
        <v>0.4</v>
      </c>
    </row>
    <row r="8" spans="1:10">
      <c r="B8" s="2" t="s">
        <v>59</v>
      </c>
      <c r="D8">
        <v>0</v>
      </c>
      <c r="E8">
        <f>E7*D9</f>
        <v>13.600000000000001</v>
      </c>
      <c r="F8">
        <f t="shared" ref="F8:I8" si="1">F7*E9</f>
        <v>8.16</v>
      </c>
      <c r="G8">
        <f t="shared" si="1"/>
        <v>4.8959999999999999</v>
      </c>
      <c r="H8">
        <f t="shared" si="1"/>
        <v>2.9375999999999998</v>
      </c>
      <c r="I8">
        <f t="shared" si="1"/>
        <v>1.7625599999999997</v>
      </c>
      <c r="J8">
        <f>J7*I9</f>
        <v>1.0575359999999996</v>
      </c>
    </row>
    <row r="9" spans="1:10">
      <c r="B9" s="2" t="s">
        <v>58</v>
      </c>
      <c r="D9">
        <v>34</v>
      </c>
      <c r="E9">
        <f>D9-E8</f>
        <v>20.399999999999999</v>
      </c>
      <c r="F9">
        <f t="shared" ref="F9:I9" si="2">E9-F8</f>
        <v>12.239999999999998</v>
      </c>
      <c r="G9">
        <f t="shared" si="2"/>
        <v>7.3439999999999985</v>
      </c>
      <c r="H9">
        <f t="shared" si="2"/>
        <v>4.4063999999999988</v>
      </c>
      <c r="I9">
        <f t="shared" si="2"/>
        <v>2.6438399999999991</v>
      </c>
      <c r="J9">
        <f>I9-J8</f>
        <v>1.5863039999999995</v>
      </c>
    </row>
    <row r="10" spans="1:10">
      <c r="B10" s="2" t="s">
        <v>54</v>
      </c>
      <c r="D10">
        <f>D8*0.3</f>
        <v>0</v>
      </c>
      <c r="E10">
        <f t="shared" ref="E10:J10" si="3">E8*0.3</f>
        <v>4.08</v>
      </c>
      <c r="F10">
        <f t="shared" si="3"/>
        <v>2.448</v>
      </c>
      <c r="G10">
        <f t="shared" si="3"/>
        <v>1.4687999999999999</v>
      </c>
      <c r="H10">
        <f t="shared" si="3"/>
        <v>0.88127999999999995</v>
      </c>
      <c r="I10">
        <f t="shared" si="3"/>
        <v>0.5287679999999999</v>
      </c>
      <c r="J10">
        <f t="shared" si="3"/>
        <v>0.31726079999999984</v>
      </c>
    </row>
    <row r="11" spans="1:10">
      <c r="A11" s="2"/>
    </row>
    <row r="12" spans="1:10">
      <c r="B12" s="2" t="s">
        <v>64</v>
      </c>
      <c r="D12" s="5">
        <f>NPV(0.12,E10:J10)</f>
        <v>7.6606913136812143</v>
      </c>
      <c r="E12" t="s">
        <v>57</v>
      </c>
    </row>
    <row r="13" spans="1:10">
      <c r="B13" s="2"/>
      <c r="D13" s="6"/>
    </row>
    <row r="14" spans="1:10">
      <c r="D14" s="6"/>
    </row>
    <row r="15" spans="1:10">
      <c r="B15" s="16" t="s">
        <v>60</v>
      </c>
      <c r="G15" s="2" t="s">
        <v>8</v>
      </c>
    </row>
    <row r="16" spans="1:10" s="2" customFormat="1">
      <c r="B16" s="2" t="s">
        <v>7</v>
      </c>
      <c r="D16" s="2">
        <v>0</v>
      </c>
      <c r="E16" s="2">
        <v>1</v>
      </c>
      <c r="F16" s="2">
        <v>2</v>
      </c>
      <c r="G16" s="2">
        <v>3</v>
      </c>
      <c r="H16" s="2">
        <v>4</v>
      </c>
      <c r="I16" s="2">
        <v>5</v>
      </c>
      <c r="J16" s="2">
        <v>6</v>
      </c>
    </row>
    <row r="17" spans="1:10">
      <c r="B17" s="2" t="s">
        <v>27</v>
      </c>
    </row>
    <row r="18" spans="1:10">
      <c r="B18" s="2" t="s">
        <v>13</v>
      </c>
      <c r="D18" s="4">
        <f>1/5*2</f>
        <v>0.4</v>
      </c>
      <c r="E18" s="4">
        <f t="shared" ref="E18:J18" si="4">1/5*2</f>
        <v>0.4</v>
      </c>
      <c r="F18" s="4">
        <f t="shared" si="4"/>
        <v>0.4</v>
      </c>
      <c r="G18" s="4">
        <f t="shared" si="4"/>
        <v>0.4</v>
      </c>
      <c r="H18" s="4">
        <f t="shared" si="4"/>
        <v>0.4</v>
      </c>
      <c r="I18" s="4">
        <f t="shared" si="4"/>
        <v>0.4</v>
      </c>
      <c r="J18" s="4">
        <f t="shared" si="4"/>
        <v>0.4</v>
      </c>
    </row>
    <row r="19" spans="1:10">
      <c r="B19" s="2" t="s">
        <v>59</v>
      </c>
      <c r="D19">
        <v>0</v>
      </c>
      <c r="E19">
        <f>E18*D20</f>
        <v>12.8</v>
      </c>
      <c r="F19">
        <f t="shared" ref="F19" si="5">F18*E20</f>
        <v>7.68</v>
      </c>
      <c r="G19">
        <f t="shared" ref="G19" si="6">G18*F20</f>
        <v>4.6079999999999997</v>
      </c>
      <c r="H19">
        <f t="shared" ref="H19" si="7">H18*G20</f>
        <v>2.7648000000000001</v>
      </c>
      <c r="I19">
        <f t="shared" ref="I19" si="8">I18*H20</f>
        <v>1.6588799999999999</v>
      </c>
      <c r="J19">
        <f>J18*I20</f>
        <v>0.99532799999999999</v>
      </c>
    </row>
    <row r="20" spans="1:10">
      <c r="B20" s="2" t="s">
        <v>58</v>
      </c>
      <c r="D20">
        <v>32</v>
      </c>
      <c r="E20">
        <f>D20-E19</f>
        <v>19.2</v>
      </c>
      <c r="F20">
        <f t="shared" ref="F20" si="9">E20-F19</f>
        <v>11.52</v>
      </c>
      <c r="G20">
        <f t="shared" ref="G20" si="10">F20-G19</f>
        <v>6.9119999999999999</v>
      </c>
      <c r="H20">
        <f t="shared" ref="H20" si="11">G20-H19</f>
        <v>4.1471999999999998</v>
      </c>
      <c r="I20">
        <f t="shared" ref="I20" si="12">H20-I19</f>
        <v>2.4883199999999999</v>
      </c>
      <c r="J20">
        <f>I20-J19</f>
        <v>1.4929919999999999</v>
      </c>
    </row>
    <row r="21" spans="1:10">
      <c r="B21" s="2" t="s">
        <v>54</v>
      </c>
      <c r="D21">
        <f>D19*0.3</f>
        <v>0</v>
      </c>
      <c r="E21">
        <f t="shared" ref="E21:J21" si="13">E19*0.3</f>
        <v>3.84</v>
      </c>
      <c r="F21">
        <f t="shared" si="13"/>
        <v>2.3039999999999998</v>
      </c>
      <c r="G21">
        <f t="shared" si="13"/>
        <v>1.3823999999999999</v>
      </c>
      <c r="H21">
        <f t="shared" si="13"/>
        <v>0.82944000000000007</v>
      </c>
      <c r="I21">
        <f t="shared" si="13"/>
        <v>0.49766399999999994</v>
      </c>
      <c r="J21">
        <f t="shared" si="13"/>
        <v>0.29859839999999999</v>
      </c>
    </row>
    <row r="22" spans="1:10">
      <c r="A22" s="2"/>
    </row>
    <row r="23" spans="1:10">
      <c r="B23" s="2" t="s">
        <v>63</v>
      </c>
      <c r="D23" s="5">
        <f>NPV(0.12,E21:J21)</f>
        <v>7.210062412876435</v>
      </c>
      <c r="E23" t="s">
        <v>57</v>
      </c>
    </row>
    <row r="25" spans="1:10">
      <c r="B25" s="2" t="s">
        <v>62</v>
      </c>
      <c r="D25" s="17">
        <f>2*0.3</f>
        <v>0.6</v>
      </c>
      <c r="E25" t="s">
        <v>57</v>
      </c>
    </row>
    <row r="27" spans="1:10">
      <c r="B27" s="2" t="s">
        <v>65</v>
      </c>
      <c r="D27" s="5">
        <f>D23+D25</f>
        <v>7.8100624128764347</v>
      </c>
      <c r="E27" t="s">
        <v>57</v>
      </c>
    </row>
    <row r="30" spans="1:10">
      <c r="B30" s="2" t="s">
        <v>66</v>
      </c>
    </row>
    <row r="31" spans="1:10">
      <c r="D31" s="18">
        <f>D27-D12</f>
        <v>0.1493710991952204</v>
      </c>
      <c r="E31" t="s">
        <v>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2"/>
  <sheetViews>
    <sheetView zoomScaleNormal="100" workbookViewId="0">
      <selection activeCell="A9" sqref="A9"/>
    </sheetView>
  </sheetViews>
  <sheetFormatPr defaultRowHeight="15"/>
  <cols>
    <col min="2" max="2" width="26.140625" customWidth="1"/>
    <col min="3" max="8" width="11.42578125" customWidth="1"/>
  </cols>
  <sheetData>
    <row r="1" spans="1:8">
      <c r="A1" s="79" t="s">
        <v>75</v>
      </c>
      <c r="B1" s="32" t="s">
        <v>67</v>
      </c>
      <c r="C1" s="33">
        <v>1</v>
      </c>
      <c r="D1" s="33">
        <v>2</v>
      </c>
      <c r="E1" s="33">
        <v>3</v>
      </c>
      <c r="F1" s="33">
        <v>4</v>
      </c>
      <c r="G1" s="33">
        <v>5</v>
      </c>
      <c r="H1" s="19"/>
    </row>
    <row r="2" spans="1:8">
      <c r="A2" s="67"/>
      <c r="B2" s="34" t="s">
        <v>68</v>
      </c>
      <c r="C2" s="35">
        <v>2200000</v>
      </c>
      <c r="D2" s="35">
        <v>2200000</v>
      </c>
      <c r="E2" s="35">
        <v>2200000</v>
      </c>
      <c r="F2" s="35">
        <v>2200000</v>
      </c>
      <c r="G2" s="35">
        <v>2200000</v>
      </c>
      <c r="H2" s="21"/>
    </row>
    <row r="3" spans="1:8">
      <c r="A3" s="2"/>
      <c r="B3" s="34" t="s">
        <v>69</v>
      </c>
      <c r="C3" s="36">
        <f>C2*0.35</f>
        <v>770000</v>
      </c>
      <c r="D3" s="36">
        <f t="shared" ref="D3:G3" si="0">D2*0.35</f>
        <v>770000</v>
      </c>
      <c r="E3" s="36">
        <f t="shared" si="0"/>
        <v>770000</v>
      </c>
      <c r="F3" s="36">
        <f t="shared" si="0"/>
        <v>770000</v>
      </c>
      <c r="G3" s="36">
        <f t="shared" si="0"/>
        <v>770000</v>
      </c>
      <c r="H3" s="22"/>
    </row>
    <row r="4" spans="1:8">
      <c r="A4" s="2"/>
      <c r="B4" s="34" t="s">
        <v>70</v>
      </c>
      <c r="C4" s="37">
        <f>$E$12</f>
        <v>800000</v>
      </c>
      <c r="D4" s="37">
        <f t="shared" ref="D4:G4" si="1">$E$12</f>
        <v>800000</v>
      </c>
      <c r="E4" s="37">
        <f t="shared" si="1"/>
        <v>800000</v>
      </c>
      <c r="F4" s="37">
        <f t="shared" si="1"/>
        <v>800000</v>
      </c>
      <c r="G4" s="37">
        <f t="shared" si="1"/>
        <v>800000</v>
      </c>
      <c r="H4" s="23"/>
    </row>
    <row r="5" spans="1:8">
      <c r="A5" s="2"/>
      <c r="B5" s="34" t="s">
        <v>71</v>
      </c>
      <c r="C5" s="35">
        <f>C2-C3-C4</f>
        <v>630000</v>
      </c>
      <c r="D5" s="35">
        <f t="shared" ref="D5:G5" si="2">D2-D3-D4</f>
        <v>630000</v>
      </c>
      <c r="E5" s="35">
        <f t="shared" si="2"/>
        <v>630000</v>
      </c>
      <c r="F5" s="35">
        <f t="shared" si="2"/>
        <v>630000</v>
      </c>
      <c r="G5" s="35">
        <f t="shared" si="2"/>
        <v>630000</v>
      </c>
      <c r="H5" s="21"/>
    </row>
    <row r="6" spans="1:8">
      <c r="A6" s="2"/>
      <c r="B6" s="34" t="s">
        <v>78</v>
      </c>
      <c r="C6" s="37">
        <f>C5*0.3</f>
        <v>189000</v>
      </c>
      <c r="D6" s="37">
        <f t="shared" ref="D6:G6" si="3">D5*0.3</f>
        <v>189000</v>
      </c>
      <c r="E6" s="37">
        <f t="shared" si="3"/>
        <v>189000</v>
      </c>
      <c r="F6" s="37">
        <f t="shared" si="3"/>
        <v>189000</v>
      </c>
      <c r="G6" s="37">
        <f t="shared" si="3"/>
        <v>189000</v>
      </c>
      <c r="H6" s="23"/>
    </row>
    <row r="7" spans="1:8">
      <c r="A7" s="78" t="s">
        <v>129</v>
      </c>
      <c r="B7" s="34" t="s">
        <v>72</v>
      </c>
      <c r="C7" s="38">
        <f>C5-C6</f>
        <v>441000</v>
      </c>
      <c r="D7" s="38">
        <f t="shared" ref="D7:G7" si="4">D5-D6</f>
        <v>441000</v>
      </c>
      <c r="E7" s="38">
        <f t="shared" si="4"/>
        <v>441000</v>
      </c>
      <c r="F7" s="38">
        <f t="shared" si="4"/>
        <v>441000</v>
      </c>
      <c r="G7" s="38">
        <f t="shared" si="4"/>
        <v>441000</v>
      </c>
      <c r="H7" s="24"/>
    </row>
    <row r="8" spans="1:8" ht="42" customHeight="1">
      <c r="A8" s="78" t="s">
        <v>128</v>
      </c>
      <c r="B8" s="39" t="s">
        <v>73</v>
      </c>
      <c r="C8" s="76">
        <f>C7+C4</f>
        <v>1241000</v>
      </c>
      <c r="D8" s="76">
        <f t="shared" ref="D8:G8" si="5">D7+D4</f>
        <v>1241000</v>
      </c>
      <c r="E8" s="76">
        <f t="shared" si="5"/>
        <v>1241000</v>
      </c>
      <c r="F8" s="76">
        <f t="shared" si="5"/>
        <v>1241000</v>
      </c>
      <c r="G8" s="76">
        <f t="shared" si="5"/>
        <v>1241000</v>
      </c>
      <c r="H8" s="75"/>
    </row>
    <row r="9" spans="1:8">
      <c r="B9" s="39" t="s">
        <v>74</v>
      </c>
      <c r="C9" s="76"/>
      <c r="D9" s="76"/>
      <c r="E9" s="76"/>
      <c r="F9" s="76"/>
      <c r="G9" s="76"/>
      <c r="H9" s="75"/>
    </row>
    <row r="10" spans="1:8">
      <c r="B10" s="31"/>
      <c r="C10" s="31"/>
      <c r="D10" s="31"/>
      <c r="E10" s="31"/>
      <c r="F10" s="31"/>
      <c r="G10" s="31"/>
    </row>
    <row r="11" spans="1:8">
      <c r="B11" t="s">
        <v>76</v>
      </c>
    </row>
    <row r="12" spans="1:8">
      <c r="C12" t="s">
        <v>77</v>
      </c>
      <c r="E12" s="25">
        <f>4000000/5</f>
        <v>800000</v>
      </c>
    </row>
  </sheetData>
  <mergeCells count="6">
    <mergeCell ref="H8:H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1"/>
  <sheetViews>
    <sheetView workbookViewId="0"/>
  </sheetViews>
  <sheetFormatPr defaultRowHeight="15"/>
  <cols>
    <col min="2" max="2" width="17.140625" customWidth="1"/>
  </cols>
  <sheetData>
    <row r="1" spans="1:9">
      <c r="A1" s="79" t="s">
        <v>82</v>
      </c>
      <c r="B1" s="32" t="s">
        <v>7</v>
      </c>
      <c r="C1" s="33">
        <v>0</v>
      </c>
      <c r="D1" s="33">
        <v>1</v>
      </c>
      <c r="E1" s="33">
        <v>2</v>
      </c>
      <c r="F1" s="33">
        <v>3</v>
      </c>
      <c r="G1" s="33">
        <v>4</v>
      </c>
      <c r="H1" s="33">
        <v>5</v>
      </c>
      <c r="I1" s="19"/>
    </row>
    <row r="2" spans="1:9" ht="30">
      <c r="A2" s="30"/>
      <c r="B2" s="39" t="s">
        <v>79</v>
      </c>
      <c r="C2" s="39" t="s">
        <v>80</v>
      </c>
      <c r="D2" s="35">
        <v>24000</v>
      </c>
      <c r="E2" s="35">
        <v>24000</v>
      </c>
      <c r="F2" s="35">
        <v>24000</v>
      </c>
      <c r="G2" s="35">
        <v>24000</v>
      </c>
      <c r="H2" s="35">
        <v>24000</v>
      </c>
      <c r="I2" s="21"/>
    </row>
    <row r="3" spans="1:9">
      <c r="B3" s="39" t="s">
        <v>70</v>
      </c>
      <c r="C3" s="39"/>
      <c r="D3" s="37">
        <f>$D$11</f>
        <v>14400</v>
      </c>
      <c r="E3" s="37">
        <f t="shared" ref="E3:H3" si="0">$D$11</f>
        <v>14400</v>
      </c>
      <c r="F3" s="37">
        <f t="shared" si="0"/>
        <v>14400</v>
      </c>
      <c r="G3" s="37">
        <f t="shared" si="0"/>
        <v>14400</v>
      </c>
      <c r="H3" s="37">
        <f t="shared" si="0"/>
        <v>14400</v>
      </c>
      <c r="I3" s="23"/>
    </row>
    <row r="4" spans="1:9">
      <c r="B4" s="39" t="s">
        <v>71</v>
      </c>
      <c r="C4" s="39"/>
      <c r="D4" s="35">
        <f>D2-D3</f>
        <v>9600</v>
      </c>
      <c r="E4" s="35">
        <f t="shared" ref="E4:H4" si="1">E2-E3</f>
        <v>9600</v>
      </c>
      <c r="F4" s="35">
        <f t="shared" si="1"/>
        <v>9600</v>
      </c>
      <c r="G4" s="35">
        <f t="shared" si="1"/>
        <v>9600</v>
      </c>
      <c r="H4" s="35">
        <f t="shared" si="1"/>
        <v>9600</v>
      </c>
      <c r="I4" s="20"/>
    </row>
    <row r="5" spans="1:9">
      <c r="B5" s="39" t="s">
        <v>78</v>
      </c>
      <c r="C5" s="39"/>
      <c r="D5" s="37">
        <f>D4*0.3</f>
        <v>2880</v>
      </c>
      <c r="E5" s="37">
        <f t="shared" ref="E5:H5" si="2">E4*0.3</f>
        <v>2880</v>
      </c>
      <c r="F5" s="37">
        <f t="shared" si="2"/>
        <v>2880</v>
      </c>
      <c r="G5" s="37">
        <f t="shared" si="2"/>
        <v>2880</v>
      </c>
      <c r="H5" s="37">
        <f t="shared" si="2"/>
        <v>2880</v>
      </c>
      <c r="I5" s="26"/>
    </row>
    <row r="6" spans="1:9">
      <c r="B6" s="39" t="s">
        <v>72</v>
      </c>
      <c r="C6" s="39"/>
      <c r="D6" s="38">
        <f>D4-D5</f>
        <v>6720</v>
      </c>
      <c r="E6" s="38">
        <f t="shared" ref="E6:H6" si="3">E4-E5</f>
        <v>6720</v>
      </c>
      <c r="F6" s="38">
        <f t="shared" si="3"/>
        <v>6720</v>
      </c>
      <c r="G6" s="38">
        <f t="shared" si="3"/>
        <v>6720</v>
      </c>
      <c r="H6" s="38">
        <f t="shared" si="3"/>
        <v>6720</v>
      </c>
      <c r="I6" s="26"/>
    </row>
    <row r="7" spans="1:9">
      <c r="B7" s="77" t="s">
        <v>81</v>
      </c>
      <c r="C7" s="77"/>
      <c r="D7" s="76">
        <f>D6+D3</f>
        <v>21120</v>
      </c>
      <c r="E7" s="76">
        <f t="shared" ref="E7:H7" si="4">E6+E3</f>
        <v>21120</v>
      </c>
      <c r="F7" s="76">
        <f t="shared" si="4"/>
        <v>21120</v>
      </c>
      <c r="G7" s="76">
        <f t="shared" si="4"/>
        <v>21120</v>
      </c>
      <c r="H7" s="76">
        <f t="shared" si="4"/>
        <v>21120</v>
      </c>
      <c r="I7" s="75"/>
    </row>
    <row r="8" spans="1:9">
      <c r="B8" s="77" t="s">
        <v>74</v>
      </c>
      <c r="C8" s="77"/>
      <c r="D8" s="76"/>
      <c r="E8" s="76"/>
      <c r="F8" s="76"/>
      <c r="G8" s="76"/>
      <c r="H8" s="76"/>
      <c r="I8" s="75"/>
    </row>
    <row r="10" spans="1:9">
      <c r="B10" t="s">
        <v>83</v>
      </c>
      <c r="D10" t="s">
        <v>84</v>
      </c>
    </row>
    <row r="11" spans="1:9">
      <c r="D11" s="21">
        <f>72000/5</f>
        <v>14400</v>
      </c>
    </row>
  </sheetData>
  <mergeCells count="8">
    <mergeCell ref="H7:H8"/>
    <mergeCell ref="I7:I8"/>
    <mergeCell ref="B7:C7"/>
    <mergeCell ref="B8:C8"/>
    <mergeCell ref="D7:D8"/>
    <mergeCell ref="E7:E8"/>
    <mergeCell ref="F7:F8"/>
    <mergeCell ref="G7:G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7"/>
  <sheetViews>
    <sheetView workbookViewId="0"/>
  </sheetViews>
  <sheetFormatPr defaultRowHeight="15"/>
  <cols>
    <col min="1" max="1" width="8.7109375" style="30"/>
    <col min="2" max="2" width="17.5703125" customWidth="1"/>
    <col min="3" max="5" width="10.85546875" customWidth="1"/>
    <col min="6" max="7" width="10.85546875" bestFit="1" customWidth="1"/>
  </cols>
  <sheetData>
    <row r="1" spans="1:7">
      <c r="A1" s="79" t="s">
        <v>96</v>
      </c>
      <c r="B1" s="40" t="s">
        <v>7</v>
      </c>
      <c r="C1" s="41">
        <v>2012</v>
      </c>
      <c r="D1" s="41">
        <v>2013</v>
      </c>
      <c r="E1" s="41">
        <v>2014</v>
      </c>
      <c r="F1" s="41">
        <v>2015</v>
      </c>
      <c r="G1" s="41">
        <v>2016</v>
      </c>
    </row>
    <row r="2" spans="1:7">
      <c r="B2" s="42" t="s">
        <v>92</v>
      </c>
      <c r="C2" s="43">
        <v>2000000</v>
      </c>
      <c r="D2" s="43">
        <v>4000000</v>
      </c>
      <c r="E2" s="43">
        <v>6000000</v>
      </c>
      <c r="F2" s="43">
        <v>10000000</v>
      </c>
      <c r="G2" s="43">
        <v>14000000</v>
      </c>
    </row>
    <row r="3" spans="1:7" ht="25.5">
      <c r="B3" s="42" t="s">
        <v>93</v>
      </c>
      <c r="C3" s="43">
        <f>C2*0.9</f>
        <v>1800000</v>
      </c>
      <c r="D3" s="43">
        <f t="shared" ref="D3:G3" si="0">D2*0.9</f>
        <v>3600000</v>
      </c>
      <c r="E3" s="43">
        <f t="shared" si="0"/>
        <v>5400000</v>
      </c>
      <c r="F3" s="43">
        <f t="shared" si="0"/>
        <v>9000000</v>
      </c>
      <c r="G3" s="43">
        <f t="shared" si="0"/>
        <v>12600000</v>
      </c>
    </row>
    <row r="4" spans="1:7" ht="25.5">
      <c r="B4" s="42" t="s">
        <v>94</v>
      </c>
      <c r="C4" s="43">
        <v>3000000</v>
      </c>
      <c r="D4" s="43">
        <v>3000001</v>
      </c>
      <c r="E4" s="43">
        <v>3000002</v>
      </c>
      <c r="F4" s="43">
        <v>3000003</v>
      </c>
      <c r="G4" s="43">
        <v>3000004</v>
      </c>
    </row>
    <row r="5" spans="1:7" ht="25.5">
      <c r="B5" s="42" t="s">
        <v>95</v>
      </c>
      <c r="C5" s="43">
        <f>C2-C3-C4</f>
        <v>-2800000</v>
      </c>
      <c r="D5" s="43">
        <f t="shared" ref="D5:G5" si="1">D2-D3-D4</f>
        <v>-2600001</v>
      </c>
      <c r="E5" s="43">
        <f t="shared" si="1"/>
        <v>-2400002</v>
      </c>
      <c r="F5" s="43">
        <f t="shared" si="1"/>
        <v>-2000003</v>
      </c>
      <c r="G5" s="43">
        <f t="shared" si="1"/>
        <v>-1600004</v>
      </c>
    </row>
    <row r="6" spans="1:7">
      <c r="B6" s="42" t="s">
        <v>78</v>
      </c>
      <c r="C6" s="44">
        <f t="shared" ref="C6:G6" si="2">C5*0.3</f>
        <v>-840000</v>
      </c>
      <c r="D6" s="44">
        <f t="shared" si="2"/>
        <v>-780000.29999999993</v>
      </c>
      <c r="E6" s="44">
        <f t="shared" si="2"/>
        <v>-720000.6</v>
      </c>
      <c r="F6" s="44">
        <f t="shared" si="2"/>
        <v>-600000.9</v>
      </c>
      <c r="G6" s="44">
        <f t="shared" si="2"/>
        <v>-480001.19999999995</v>
      </c>
    </row>
    <row r="7" spans="1:7">
      <c r="B7" s="42" t="s">
        <v>73</v>
      </c>
      <c r="C7" s="45">
        <f>C5-C6</f>
        <v>-1960000</v>
      </c>
      <c r="D7" s="45">
        <f t="shared" ref="D7:G7" si="3">D5-D6</f>
        <v>-1820000.7000000002</v>
      </c>
      <c r="E7" s="45">
        <f t="shared" si="3"/>
        <v>-1680001.4</v>
      </c>
      <c r="F7" s="45">
        <f t="shared" si="3"/>
        <v>-1400002.1</v>
      </c>
      <c r="G7" s="45">
        <f t="shared" si="3"/>
        <v>-1120002.8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W26"/>
  <sheetViews>
    <sheetView zoomScale="85" zoomScaleNormal="85" workbookViewId="0">
      <selection activeCell="A4" sqref="A4"/>
    </sheetView>
  </sheetViews>
  <sheetFormatPr defaultRowHeight="15"/>
  <cols>
    <col min="1" max="1" width="9.7109375" style="30" bestFit="1" customWidth="1"/>
    <col min="2" max="2" width="11.85546875" customWidth="1"/>
    <col min="4" max="8" width="9.42578125" customWidth="1"/>
    <col min="11" max="11" width="34.85546875" bestFit="1" customWidth="1"/>
    <col min="12" max="12" width="3.5703125" customWidth="1"/>
  </cols>
  <sheetData>
    <row r="1" spans="1:23" ht="30.75" thickBot="1">
      <c r="A1" s="79" t="s">
        <v>130</v>
      </c>
      <c r="B1" s="47" t="s">
        <v>85</v>
      </c>
      <c r="C1" s="48">
        <v>0</v>
      </c>
      <c r="D1" s="48">
        <v>1</v>
      </c>
      <c r="E1" s="48">
        <v>2</v>
      </c>
      <c r="F1" s="48">
        <v>3</v>
      </c>
      <c r="G1" s="48">
        <v>4</v>
      </c>
      <c r="H1" s="48">
        <v>5</v>
      </c>
      <c r="I1" s="48">
        <v>6</v>
      </c>
      <c r="J1" s="31"/>
      <c r="K1" s="2" t="s">
        <v>7</v>
      </c>
      <c r="L1" s="2"/>
      <c r="M1" s="2">
        <v>0</v>
      </c>
      <c r="N1" s="2">
        <v>1</v>
      </c>
      <c r="O1" s="2">
        <v>2</v>
      </c>
      <c r="P1" s="2">
        <v>3</v>
      </c>
      <c r="Q1" s="2">
        <v>4</v>
      </c>
      <c r="R1" s="2">
        <v>5</v>
      </c>
      <c r="S1" s="2">
        <v>6</v>
      </c>
      <c r="T1" s="31"/>
      <c r="U1" s="31"/>
      <c r="V1" s="31"/>
      <c r="W1" s="31"/>
    </row>
    <row r="2" spans="1:23">
      <c r="B2" s="39" t="s">
        <v>68</v>
      </c>
      <c r="C2" s="39"/>
      <c r="D2" s="35">
        <v>300000</v>
      </c>
      <c r="E2" s="35">
        <v>300000</v>
      </c>
      <c r="F2" s="35">
        <v>300000</v>
      </c>
      <c r="G2" s="35">
        <v>300000</v>
      </c>
      <c r="H2" s="35">
        <v>300000</v>
      </c>
      <c r="I2" s="35">
        <v>0</v>
      </c>
      <c r="J2" s="31"/>
      <c r="K2" s="2" t="s">
        <v>27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3">
      <c r="B3" s="39" t="s">
        <v>86</v>
      </c>
      <c r="C3" s="39"/>
      <c r="D3" s="36">
        <v>288000</v>
      </c>
      <c r="E3" s="36">
        <v>288000</v>
      </c>
      <c r="F3" s="36">
        <v>288000</v>
      </c>
      <c r="G3" s="36">
        <v>288000</v>
      </c>
      <c r="H3" s="36">
        <v>288000</v>
      </c>
      <c r="I3" s="49">
        <v>0</v>
      </c>
      <c r="J3" s="31"/>
      <c r="K3" s="2" t="s">
        <v>13</v>
      </c>
      <c r="L3" s="31"/>
      <c r="M3" s="4">
        <f>1/5*2</f>
        <v>0.4</v>
      </c>
      <c r="N3" s="4">
        <f t="shared" ref="N3:S3" si="0">1/5*2</f>
        <v>0.4</v>
      </c>
      <c r="O3" s="4">
        <f t="shared" si="0"/>
        <v>0.4</v>
      </c>
      <c r="P3" s="4">
        <f t="shared" si="0"/>
        <v>0.4</v>
      </c>
      <c r="Q3" s="4">
        <f t="shared" si="0"/>
        <v>0.4</v>
      </c>
      <c r="R3" s="4">
        <f t="shared" si="0"/>
        <v>0.4</v>
      </c>
      <c r="S3" s="4">
        <f t="shared" si="0"/>
        <v>0.4</v>
      </c>
      <c r="T3" s="31"/>
      <c r="U3" s="31"/>
      <c r="V3" s="31"/>
      <c r="W3" s="31"/>
    </row>
    <row r="4" spans="1:23" ht="45">
      <c r="B4" s="39" t="s">
        <v>70</v>
      </c>
      <c r="C4" s="39"/>
      <c r="D4" s="50">
        <f>N4</f>
        <v>12800</v>
      </c>
      <c r="E4" s="50">
        <f t="shared" ref="E4:I4" si="1">O4</f>
        <v>7680</v>
      </c>
      <c r="F4" s="50">
        <f t="shared" si="1"/>
        <v>4608</v>
      </c>
      <c r="G4" s="50">
        <f t="shared" si="1"/>
        <v>2764.8</v>
      </c>
      <c r="H4" s="50">
        <f t="shared" si="1"/>
        <v>1658.88</v>
      </c>
      <c r="I4" s="50">
        <f t="shared" si="1"/>
        <v>995.32799999999997</v>
      </c>
      <c r="J4" s="31"/>
      <c r="K4" s="2" t="s">
        <v>59</v>
      </c>
      <c r="L4" s="31"/>
      <c r="M4" s="35">
        <v>0</v>
      </c>
      <c r="N4" s="35">
        <f>N3*M5</f>
        <v>12800</v>
      </c>
      <c r="O4" s="35">
        <f t="shared" ref="O4:R4" si="2">O3*N5</f>
        <v>7680</v>
      </c>
      <c r="P4" s="35">
        <f t="shared" si="2"/>
        <v>4608</v>
      </c>
      <c r="Q4" s="35">
        <f t="shared" si="2"/>
        <v>2764.8</v>
      </c>
      <c r="R4" s="36">
        <f t="shared" si="2"/>
        <v>1658.88</v>
      </c>
      <c r="S4" s="36">
        <f>S3*R5</f>
        <v>995.32799999999997</v>
      </c>
      <c r="T4" s="31"/>
      <c r="U4" s="31"/>
      <c r="V4" s="31"/>
      <c r="W4" s="31"/>
    </row>
    <row r="5" spans="1:23" ht="30">
      <c r="B5" s="39" t="s">
        <v>71</v>
      </c>
      <c r="C5" s="39"/>
      <c r="D5" s="35">
        <f>D2-D3-D4</f>
        <v>-800</v>
      </c>
      <c r="E5" s="35">
        <f t="shared" ref="E5:I5" si="3">E2-E3-E4</f>
        <v>4320</v>
      </c>
      <c r="F5" s="35">
        <f t="shared" si="3"/>
        <v>7392</v>
      </c>
      <c r="G5" s="35">
        <f t="shared" si="3"/>
        <v>9235.2000000000007</v>
      </c>
      <c r="H5" s="35">
        <f t="shared" si="3"/>
        <v>10341.119999999999</v>
      </c>
      <c r="I5" s="35">
        <f t="shared" si="3"/>
        <v>-995.32799999999997</v>
      </c>
      <c r="J5" s="31"/>
      <c r="K5" s="2" t="s">
        <v>58</v>
      </c>
      <c r="L5" s="31"/>
      <c r="M5" s="35">
        <v>32000</v>
      </c>
      <c r="N5" s="35">
        <f>M5-N4</f>
        <v>19200</v>
      </c>
      <c r="O5" s="35">
        <f t="shared" ref="O5:R5" si="4">N5-O4</f>
        <v>11520</v>
      </c>
      <c r="P5" s="35">
        <f t="shared" si="4"/>
        <v>6912</v>
      </c>
      <c r="Q5" s="35">
        <f t="shared" si="4"/>
        <v>4147.2</v>
      </c>
      <c r="R5" s="35">
        <f t="shared" si="4"/>
        <v>2488.3199999999997</v>
      </c>
      <c r="S5" s="35">
        <f>R5-S4</f>
        <v>1492.9919999999997</v>
      </c>
      <c r="T5" s="31"/>
      <c r="U5" s="31"/>
      <c r="V5" s="31"/>
      <c r="W5" s="31"/>
    </row>
    <row r="6" spans="1:23" ht="30">
      <c r="B6" s="39" t="s">
        <v>78</v>
      </c>
      <c r="C6" s="39"/>
      <c r="D6" s="37">
        <f>D5*0.3</f>
        <v>-240</v>
      </c>
      <c r="E6" s="37">
        <f t="shared" ref="E6:I6" si="5">E5*0.3</f>
        <v>1296</v>
      </c>
      <c r="F6" s="37">
        <f t="shared" si="5"/>
        <v>2217.6</v>
      </c>
      <c r="G6" s="37">
        <f t="shared" si="5"/>
        <v>2770.56</v>
      </c>
      <c r="H6" s="37">
        <f t="shared" si="5"/>
        <v>3102.3359999999998</v>
      </c>
      <c r="I6" s="37">
        <f t="shared" si="5"/>
        <v>-298.59839999999997</v>
      </c>
      <c r="J6" s="31"/>
      <c r="K6" s="2" t="s">
        <v>54</v>
      </c>
      <c r="L6" s="31"/>
      <c r="M6" s="35">
        <f>M4*0.3</f>
        <v>0</v>
      </c>
      <c r="N6" s="35">
        <f t="shared" ref="N6:S6" si="6">N4*0.3</f>
        <v>3840</v>
      </c>
      <c r="O6" s="35">
        <f t="shared" si="6"/>
        <v>2304</v>
      </c>
      <c r="P6" s="35">
        <f t="shared" si="6"/>
        <v>1382.3999999999999</v>
      </c>
      <c r="Q6" s="35">
        <f t="shared" si="6"/>
        <v>829.44</v>
      </c>
      <c r="R6" s="35">
        <f t="shared" si="6"/>
        <v>497.66399999999999</v>
      </c>
      <c r="S6" s="35">
        <f t="shared" si="6"/>
        <v>298.59839999999997</v>
      </c>
      <c r="T6" s="31"/>
      <c r="U6" s="31"/>
      <c r="V6" s="31"/>
      <c r="W6" s="31"/>
    </row>
    <row r="7" spans="1:23">
      <c r="B7" s="39" t="s">
        <v>72</v>
      </c>
      <c r="C7" s="39"/>
      <c r="D7" s="38">
        <f>D5-D6</f>
        <v>-560</v>
      </c>
      <c r="E7" s="38">
        <f t="shared" ref="E7:I7" si="7">E5-E6</f>
        <v>3024</v>
      </c>
      <c r="F7" s="38">
        <f t="shared" si="7"/>
        <v>5174.3999999999996</v>
      </c>
      <c r="G7" s="38">
        <f t="shared" si="7"/>
        <v>6464.6400000000012</v>
      </c>
      <c r="H7" s="38">
        <f t="shared" si="7"/>
        <v>7238.7839999999997</v>
      </c>
      <c r="I7" s="38">
        <f t="shared" si="7"/>
        <v>-696.7296</v>
      </c>
      <c r="J7" s="31"/>
      <c r="K7" s="31"/>
      <c r="L7" s="31"/>
      <c r="M7" s="35"/>
      <c r="N7" s="35"/>
      <c r="O7" s="35"/>
      <c r="P7" s="35"/>
      <c r="Q7" s="35"/>
      <c r="R7" s="35"/>
      <c r="S7" s="35"/>
      <c r="T7" s="31"/>
      <c r="U7" s="31"/>
      <c r="V7" s="31"/>
      <c r="W7" s="31"/>
    </row>
    <row r="8" spans="1:23" ht="27.95" customHeight="1">
      <c r="B8" s="77" t="s">
        <v>87</v>
      </c>
      <c r="C8" s="77"/>
      <c r="D8" s="51">
        <f>D7+D4</f>
        <v>12240</v>
      </c>
      <c r="E8" s="51">
        <f t="shared" ref="E8:I8" si="8">E7+E4</f>
        <v>10704</v>
      </c>
      <c r="F8" s="51">
        <f t="shared" si="8"/>
        <v>9782.4</v>
      </c>
      <c r="G8" s="51">
        <f t="shared" si="8"/>
        <v>9229.4400000000023</v>
      </c>
      <c r="H8" s="51">
        <f t="shared" si="8"/>
        <v>8897.6640000000007</v>
      </c>
      <c r="I8" s="51">
        <f t="shared" si="8"/>
        <v>298.59839999999997</v>
      </c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</row>
    <row r="10" spans="1:23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</row>
    <row r="11" spans="1:23" ht="30.75" thickBot="1">
      <c r="B11" s="47" t="s">
        <v>88</v>
      </c>
      <c r="C11" s="48">
        <v>0</v>
      </c>
      <c r="D11" s="48">
        <v>1</v>
      </c>
      <c r="E11" s="48">
        <v>2</v>
      </c>
      <c r="F11" s="48">
        <v>3</v>
      </c>
      <c r="G11" s="48">
        <v>4</v>
      </c>
      <c r="H11" s="48">
        <v>5</v>
      </c>
      <c r="I11" s="48">
        <v>6</v>
      </c>
      <c r="J11" s="31"/>
      <c r="K11" s="2" t="s">
        <v>7</v>
      </c>
      <c r="L11" s="2"/>
      <c r="M11" s="28">
        <v>0</v>
      </c>
      <c r="N11" s="28">
        <v>1</v>
      </c>
      <c r="O11" s="28">
        <v>2</v>
      </c>
      <c r="P11" s="28">
        <v>3</v>
      </c>
      <c r="Q11" s="2">
        <v>4</v>
      </c>
      <c r="R11" s="2">
        <v>5</v>
      </c>
      <c r="S11" s="2">
        <v>6</v>
      </c>
      <c r="T11" s="2">
        <v>7</v>
      </c>
      <c r="U11" s="2">
        <v>8</v>
      </c>
      <c r="V11" s="2">
        <v>9</v>
      </c>
      <c r="W11" s="31"/>
    </row>
    <row r="12" spans="1:23">
      <c r="B12" s="39" t="s">
        <v>68</v>
      </c>
      <c r="C12" s="39"/>
      <c r="D12" s="35">
        <v>270000</v>
      </c>
      <c r="E12" s="35">
        <v>270000</v>
      </c>
      <c r="F12" s="35">
        <v>270000</v>
      </c>
      <c r="G12" s="35">
        <v>270000</v>
      </c>
      <c r="H12" s="35">
        <v>270000</v>
      </c>
      <c r="I12" s="49">
        <v>0</v>
      </c>
      <c r="J12" s="31"/>
      <c r="K12" s="2" t="s">
        <v>27</v>
      </c>
      <c r="L12" s="31"/>
      <c r="M12" s="46"/>
      <c r="N12" s="46"/>
      <c r="O12" s="46"/>
      <c r="P12" s="46"/>
      <c r="Q12" s="31"/>
      <c r="R12" s="31"/>
      <c r="S12" s="31"/>
      <c r="T12" s="31"/>
      <c r="U12" s="31"/>
      <c r="V12" s="31"/>
      <c r="W12" s="31"/>
    </row>
    <row r="13" spans="1:23">
      <c r="B13" s="39" t="s">
        <v>86</v>
      </c>
      <c r="C13" s="39"/>
      <c r="D13" s="36">
        <v>264000</v>
      </c>
      <c r="E13" s="36">
        <v>264000</v>
      </c>
      <c r="F13" s="36">
        <v>264000</v>
      </c>
      <c r="G13" s="36">
        <v>264000</v>
      </c>
      <c r="H13" s="36">
        <v>264000</v>
      </c>
      <c r="I13" s="49">
        <v>0</v>
      </c>
      <c r="J13" s="31"/>
      <c r="K13" s="2" t="s">
        <v>13</v>
      </c>
      <c r="L13" s="31"/>
      <c r="M13" s="29">
        <f>1/5*2</f>
        <v>0.4</v>
      </c>
      <c r="N13" s="29">
        <f t="shared" ref="N13:V13" si="9">1/5*2</f>
        <v>0.4</v>
      </c>
      <c r="O13" s="29">
        <f t="shared" si="9"/>
        <v>0.4</v>
      </c>
      <c r="P13" s="29">
        <f t="shared" si="9"/>
        <v>0.4</v>
      </c>
      <c r="Q13" s="4">
        <f t="shared" si="9"/>
        <v>0.4</v>
      </c>
      <c r="R13" s="4">
        <f t="shared" si="9"/>
        <v>0.4</v>
      </c>
      <c r="S13" s="4">
        <f t="shared" si="9"/>
        <v>0.4</v>
      </c>
      <c r="T13" s="4">
        <f t="shared" si="9"/>
        <v>0.4</v>
      </c>
      <c r="U13" s="4">
        <f t="shared" si="9"/>
        <v>0.4</v>
      </c>
      <c r="V13" s="4">
        <f t="shared" si="9"/>
        <v>0.4</v>
      </c>
      <c r="W13" s="31"/>
    </row>
    <row r="14" spans="1:23" ht="45">
      <c r="B14" s="39" t="s">
        <v>70</v>
      </c>
      <c r="C14" s="39"/>
      <c r="D14" s="50">
        <f>Q14</f>
        <v>1728</v>
      </c>
      <c r="E14" s="50">
        <f t="shared" ref="E14:I14" si="10">R14</f>
        <v>1036.8</v>
      </c>
      <c r="F14" s="50">
        <f t="shared" si="10"/>
        <v>622.08000000000004</v>
      </c>
      <c r="G14" s="50">
        <f t="shared" si="10"/>
        <v>373.24800000000005</v>
      </c>
      <c r="H14" s="50">
        <f t="shared" si="10"/>
        <v>223.94880000000001</v>
      </c>
      <c r="I14" s="50">
        <f t="shared" si="10"/>
        <v>134.36927999999997</v>
      </c>
      <c r="J14" s="31"/>
      <c r="K14" s="2" t="s">
        <v>59</v>
      </c>
      <c r="L14" s="31"/>
      <c r="M14" s="52">
        <v>0</v>
      </c>
      <c r="N14" s="52">
        <f>N13*M15</f>
        <v>8000</v>
      </c>
      <c r="O14" s="52">
        <f t="shared" ref="O14" si="11">O13*N15</f>
        <v>4800</v>
      </c>
      <c r="P14" s="52">
        <f t="shared" ref="P14" si="12">P13*O15</f>
        <v>2880</v>
      </c>
      <c r="Q14" s="35">
        <f t="shared" ref="Q14" si="13">Q13*P15</f>
        <v>1728</v>
      </c>
      <c r="R14" s="35">
        <f t="shared" ref="R14" si="14">R13*Q15</f>
        <v>1036.8</v>
      </c>
      <c r="S14" s="35">
        <f>S13*R15</f>
        <v>622.08000000000004</v>
      </c>
      <c r="T14" s="36">
        <f t="shared" ref="T14:V14" si="15">T13*S15</f>
        <v>373.24800000000005</v>
      </c>
      <c r="U14" s="36">
        <f t="shared" si="15"/>
        <v>223.94880000000001</v>
      </c>
      <c r="V14" s="36">
        <f t="shared" si="15"/>
        <v>134.36927999999997</v>
      </c>
      <c r="W14" s="31"/>
    </row>
    <row r="15" spans="1:23" ht="30">
      <c r="B15" s="39" t="s">
        <v>71</v>
      </c>
      <c r="C15" s="39"/>
      <c r="D15" s="35">
        <f>D12-D13-D14</f>
        <v>4272</v>
      </c>
      <c r="E15" s="35">
        <f t="shared" ref="E15:I15" si="16">E12-E13-E14</f>
        <v>4963.2</v>
      </c>
      <c r="F15" s="35">
        <f t="shared" si="16"/>
        <v>5377.92</v>
      </c>
      <c r="G15" s="35">
        <f t="shared" si="16"/>
        <v>5626.7520000000004</v>
      </c>
      <c r="H15" s="35">
        <f t="shared" si="16"/>
        <v>5776.0511999999999</v>
      </c>
      <c r="I15" s="35">
        <f t="shared" si="16"/>
        <v>-134.36927999999997</v>
      </c>
      <c r="J15" s="31"/>
      <c r="K15" s="2" t="s">
        <v>58</v>
      </c>
      <c r="L15" s="31"/>
      <c r="M15" s="52">
        <v>20000</v>
      </c>
      <c r="N15" s="52">
        <f>M15-N14</f>
        <v>12000</v>
      </c>
      <c r="O15" s="52">
        <f t="shared" ref="O15" si="17">N15-O14</f>
        <v>7200</v>
      </c>
      <c r="P15" s="53">
        <f t="shared" ref="P15" si="18">O15-P14</f>
        <v>4320</v>
      </c>
      <c r="Q15" s="35">
        <f t="shared" ref="Q15" si="19">P15-Q14</f>
        <v>2592</v>
      </c>
      <c r="R15" s="35">
        <f t="shared" ref="R15" si="20">Q15-R14</f>
        <v>1555.2</v>
      </c>
      <c r="S15" s="35">
        <f>R15-S14</f>
        <v>933.12</v>
      </c>
      <c r="T15" s="36">
        <f t="shared" ref="T15:V15" si="21">S15-T14</f>
        <v>559.87199999999996</v>
      </c>
      <c r="U15" s="36">
        <f t="shared" si="21"/>
        <v>335.92319999999995</v>
      </c>
      <c r="V15" s="36">
        <f t="shared" si="21"/>
        <v>201.55391999999998</v>
      </c>
      <c r="W15" s="31"/>
    </row>
    <row r="16" spans="1:23" ht="30">
      <c r="B16" s="39" t="s">
        <v>78</v>
      </c>
      <c r="C16" s="39"/>
      <c r="D16" s="37">
        <f>D15*0.3</f>
        <v>1281.5999999999999</v>
      </c>
      <c r="E16" s="37">
        <f t="shared" ref="E16:I16" si="22">E15*0.3</f>
        <v>1488.9599999999998</v>
      </c>
      <c r="F16" s="37">
        <f t="shared" si="22"/>
        <v>1613.376</v>
      </c>
      <c r="G16" s="37">
        <f t="shared" si="22"/>
        <v>1688.0256000000002</v>
      </c>
      <c r="H16" s="37">
        <f t="shared" si="22"/>
        <v>1732.8153599999998</v>
      </c>
      <c r="I16" s="37">
        <f t="shared" si="22"/>
        <v>-40.310783999999991</v>
      </c>
      <c r="J16" s="31"/>
      <c r="K16" s="2" t="s">
        <v>54</v>
      </c>
      <c r="L16" s="31"/>
      <c r="M16" s="52">
        <f>M14*0.3</f>
        <v>0</v>
      </c>
      <c r="N16" s="52">
        <f t="shared" ref="N16:S16" si="23">N14*0.3</f>
        <v>2400</v>
      </c>
      <c r="O16" s="52">
        <f t="shared" si="23"/>
        <v>1440</v>
      </c>
      <c r="P16" s="52">
        <f t="shared" si="23"/>
        <v>864</v>
      </c>
      <c r="Q16" s="35">
        <f t="shared" si="23"/>
        <v>518.4</v>
      </c>
      <c r="R16" s="35">
        <f t="shared" si="23"/>
        <v>311.03999999999996</v>
      </c>
      <c r="S16" s="35">
        <f t="shared" si="23"/>
        <v>186.624</v>
      </c>
      <c r="T16" s="36">
        <f t="shared" ref="T16:U16" si="24">T14*0.3</f>
        <v>111.97440000000002</v>
      </c>
      <c r="U16" s="36">
        <f t="shared" si="24"/>
        <v>67.184640000000002</v>
      </c>
      <c r="V16" s="36">
        <f t="shared" ref="V16" si="25">V14*0.3</f>
        <v>40.310783999999991</v>
      </c>
      <c r="W16" s="31"/>
    </row>
    <row r="17" spans="2:23">
      <c r="B17" s="39" t="s">
        <v>72</v>
      </c>
      <c r="C17" s="39"/>
      <c r="D17" s="38">
        <f>D15-D16</f>
        <v>2990.4</v>
      </c>
      <c r="E17" s="38">
        <f t="shared" ref="E17:I17" si="26">E15-E16</f>
        <v>3474.24</v>
      </c>
      <c r="F17" s="38">
        <f t="shared" si="26"/>
        <v>3764.5439999999999</v>
      </c>
      <c r="G17" s="38">
        <f t="shared" si="26"/>
        <v>3938.7264000000005</v>
      </c>
      <c r="H17" s="38">
        <f t="shared" si="26"/>
        <v>4043.2358400000003</v>
      </c>
      <c r="I17" s="38">
        <f t="shared" si="26"/>
        <v>-94.058495999999991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</row>
    <row r="18" spans="2:23" ht="27.95" customHeight="1">
      <c r="B18" s="77" t="s">
        <v>87</v>
      </c>
      <c r="C18" s="77"/>
      <c r="D18" s="51">
        <f>D17+D14</f>
        <v>4718.3999999999996</v>
      </c>
      <c r="E18" s="51">
        <f t="shared" ref="E18:I18" si="27">E17+E14</f>
        <v>4511.04</v>
      </c>
      <c r="F18" s="51">
        <f t="shared" si="27"/>
        <v>4386.6239999999998</v>
      </c>
      <c r="G18" s="51">
        <f t="shared" si="27"/>
        <v>4311.974400000001</v>
      </c>
      <c r="H18" s="51">
        <f t="shared" si="27"/>
        <v>4267.1846400000004</v>
      </c>
      <c r="I18" s="51">
        <f t="shared" si="27"/>
        <v>40.310783999999984</v>
      </c>
      <c r="J18" s="31"/>
      <c r="K18" s="31"/>
      <c r="L18" s="31"/>
      <c r="M18" s="31" t="s">
        <v>97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</row>
    <row r="19" spans="2:23">
      <c r="B19" s="54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 t="s">
        <v>98</v>
      </c>
      <c r="N19" s="31"/>
      <c r="O19" s="31"/>
      <c r="P19" s="31"/>
      <c r="Q19" s="31"/>
      <c r="R19" s="31"/>
      <c r="S19" s="31"/>
      <c r="T19" s="31"/>
      <c r="U19" s="31"/>
      <c r="V19" s="31"/>
      <c r="W19" s="31"/>
    </row>
    <row r="20" spans="2:23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3">
        <f>P15</f>
        <v>4320</v>
      </c>
      <c r="O20" s="31"/>
      <c r="P20" s="31"/>
      <c r="Q20" s="31"/>
      <c r="R20" s="31"/>
      <c r="S20" s="31"/>
      <c r="T20" s="31"/>
      <c r="U20" s="31"/>
      <c r="V20" s="31"/>
      <c r="W20" s="31"/>
    </row>
    <row r="21" spans="2:23">
      <c r="B21" s="31" t="s">
        <v>91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2:23" ht="15.75" thickBot="1">
      <c r="B22" s="55" t="s">
        <v>7</v>
      </c>
      <c r="C22" s="56">
        <v>0</v>
      </c>
      <c r="D22" s="48">
        <v>1</v>
      </c>
      <c r="E22" s="48">
        <v>2</v>
      </c>
      <c r="F22" s="48">
        <v>3</v>
      </c>
      <c r="G22" s="48">
        <v>4</v>
      </c>
      <c r="H22" s="48">
        <v>5</v>
      </c>
      <c r="I22" s="48">
        <v>6</v>
      </c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</row>
    <row r="23" spans="2:23" ht="30">
      <c r="B23" s="39" t="s">
        <v>85</v>
      </c>
      <c r="C23" s="39"/>
      <c r="D23" s="57">
        <f>D8</f>
        <v>12240</v>
      </c>
      <c r="E23" s="57">
        <f t="shared" ref="E23:I23" si="28">E8</f>
        <v>10704</v>
      </c>
      <c r="F23" s="57">
        <f t="shared" si="28"/>
        <v>9782.4</v>
      </c>
      <c r="G23" s="57">
        <f t="shared" si="28"/>
        <v>9229.4400000000023</v>
      </c>
      <c r="H23" s="57">
        <f t="shared" si="28"/>
        <v>8897.6640000000007</v>
      </c>
      <c r="I23" s="57">
        <f t="shared" si="28"/>
        <v>298.59839999999997</v>
      </c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</row>
    <row r="24" spans="2:23" ht="30">
      <c r="B24" s="39" t="s">
        <v>89</v>
      </c>
      <c r="C24" s="39"/>
      <c r="D24" s="58">
        <f>D18</f>
        <v>4718.3999999999996</v>
      </c>
      <c r="E24" s="58">
        <f t="shared" ref="E24:I24" si="29">E18</f>
        <v>4511.04</v>
      </c>
      <c r="F24" s="58">
        <f t="shared" si="29"/>
        <v>4386.6239999999998</v>
      </c>
      <c r="G24" s="58">
        <f t="shared" si="29"/>
        <v>4311.974400000001</v>
      </c>
      <c r="H24" s="58">
        <f t="shared" si="29"/>
        <v>4267.1846400000004</v>
      </c>
      <c r="I24" s="58">
        <f t="shared" si="29"/>
        <v>40.310783999999984</v>
      </c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</row>
    <row r="25" spans="2:23">
      <c r="B25" s="39" t="s">
        <v>90</v>
      </c>
      <c r="C25" s="59">
        <v>-15304</v>
      </c>
      <c r="D25" s="59">
        <f>D23-D24</f>
        <v>7521.6</v>
      </c>
      <c r="E25" s="59">
        <f t="shared" ref="E25:I25" si="30">E23-E24</f>
        <v>6192.96</v>
      </c>
      <c r="F25" s="59">
        <f t="shared" si="30"/>
        <v>5395.7759999999998</v>
      </c>
      <c r="G25" s="59">
        <f t="shared" si="30"/>
        <v>4917.4656000000014</v>
      </c>
      <c r="H25" s="59">
        <f t="shared" si="30"/>
        <v>4630.4793600000003</v>
      </c>
      <c r="I25" s="59">
        <f t="shared" si="30"/>
        <v>258.28761599999996</v>
      </c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</row>
    <row r="26" spans="2:23">
      <c r="B26" s="27"/>
    </row>
  </sheetData>
  <mergeCells count="2">
    <mergeCell ref="B8:C8"/>
    <mergeCell ref="B18:C18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26"/>
  <sheetViews>
    <sheetView zoomScale="85" zoomScaleNormal="85" workbookViewId="0">
      <selection activeCell="B27" sqref="B27"/>
    </sheetView>
  </sheetViews>
  <sheetFormatPr defaultRowHeight="15"/>
  <cols>
    <col min="1" max="1" width="11.140625" style="30" customWidth="1"/>
    <col min="2" max="2" width="11.85546875" customWidth="1"/>
    <col min="3" max="3" width="10.140625" customWidth="1"/>
    <col min="4" max="8" width="9.42578125" customWidth="1"/>
    <col min="11" max="11" width="34.85546875" bestFit="1" customWidth="1"/>
    <col min="12" max="12" width="3.5703125" customWidth="1"/>
    <col min="13" max="13" width="11.42578125" customWidth="1"/>
    <col min="14" max="14" width="11.5703125" customWidth="1"/>
  </cols>
  <sheetData>
    <row r="1" spans="1:22" ht="42.6" customHeight="1" thickBot="1">
      <c r="A1" s="80" t="s">
        <v>131</v>
      </c>
      <c r="B1" s="47" t="s">
        <v>85</v>
      </c>
      <c r="C1" s="48">
        <v>0</v>
      </c>
      <c r="D1" s="48">
        <v>1</v>
      </c>
      <c r="E1" s="48">
        <v>2</v>
      </c>
      <c r="F1" s="48">
        <v>3</v>
      </c>
      <c r="G1" s="48">
        <v>4</v>
      </c>
      <c r="H1" s="48">
        <v>5</v>
      </c>
      <c r="I1" s="48">
        <v>6</v>
      </c>
      <c r="J1" s="31"/>
      <c r="K1" s="2" t="s">
        <v>7</v>
      </c>
      <c r="L1" s="2"/>
      <c r="M1" s="2">
        <v>0</v>
      </c>
      <c r="N1" s="2">
        <v>1</v>
      </c>
      <c r="O1" s="2">
        <v>2</v>
      </c>
      <c r="P1" s="2">
        <v>3</v>
      </c>
      <c r="Q1" s="2">
        <v>4</v>
      </c>
      <c r="R1" s="2">
        <v>5</v>
      </c>
      <c r="S1" s="2">
        <v>6</v>
      </c>
      <c r="T1" s="31"/>
      <c r="U1" s="31"/>
      <c r="V1" s="31"/>
    </row>
    <row r="2" spans="1:22">
      <c r="B2" s="39" t="s">
        <v>100</v>
      </c>
      <c r="C2" s="39"/>
      <c r="D2" s="35">
        <v>86000</v>
      </c>
      <c r="E2" s="35">
        <v>86000</v>
      </c>
      <c r="F2" s="35">
        <v>86000</v>
      </c>
      <c r="G2" s="35">
        <v>86000</v>
      </c>
      <c r="H2" s="35">
        <v>86000</v>
      </c>
      <c r="I2" s="35">
        <v>0</v>
      </c>
      <c r="J2" s="31"/>
      <c r="K2" s="2" t="s">
        <v>27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22">
      <c r="B3" s="39"/>
      <c r="C3" s="39"/>
      <c r="D3" s="36"/>
      <c r="E3" s="36"/>
      <c r="F3" s="36"/>
      <c r="G3" s="36"/>
      <c r="H3" s="36"/>
      <c r="I3" s="49"/>
      <c r="J3" s="31"/>
      <c r="K3" s="2" t="s">
        <v>13</v>
      </c>
      <c r="L3" s="31"/>
      <c r="M3" s="4">
        <f>1/5*2</f>
        <v>0.4</v>
      </c>
      <c r="N3" s="4">
        <f t="shared" ref="N3:S3" si="0">1/5*2</f>
        <v>0.4</v>
      </c>
      <c r="O3" s="4">
        <f t="shared" si="0"/>
        <v>0.4</v>
      </c>
      <c r="P3" s="4">
        <f t="shared" si="0"/>
        <v>0.4</v>
      </c>
      <c r="Q3" s="4">
        <f t="shared" si="0"/>
        <v>0.4</v>
      </c>
      <c r="R3" s="4">
        <f t="shared" si="0"/>
        <v>0.4</v>
      </c>
      <c r="S3" s="4">
        <f t="shared" si="0"/>
        <v>0.4</v>
      </c>
      <c r="T3" s="31"/>
      <c r="U3" s="31"/>
      <c r="V3" s="31"/>
    </row>
    <row r="4" spans="1:22" ht="45">
      <c r="B4" s="39" t="s">
        <v>70</v>
      </c>
      <c r="C4" s="39"/>
      <c r="D4" s="50">
        <f>N4</f>
        <v>88000</v>
      </c>
      <c r="E4" s="50">
        <f t="shared" ref="E4:I4" si="1">O4</f>
        <v>52800</v>
      </c>
      <c r="F4" s="50">
        <f t="shared" si="1"/>
        <v>31680</v>
      </c>
      <c r="G4" s="50">
        <f t="shared" si="1"/>
        <v>19008</v>
      </c>
      <c r="H4" s="50">
        <f t="shared" si="1"/>
        <v>11404.800000000001</v>
      </c>
      <c r="I4" s="50">
        <f t="shared" si="1"/>
        <v>6842.8799999999992</v>
      </c>
      <c r="J4" s="31"/>
      <c r="K4" s="2" t="s">
        <v>59</v>
      </c>
      <c r="L4" s="31"/>
      <c r="M4" s="35">
        <v>0</v>
      </c>
      <c r="N4" s="35">
        <f>N3*M5</f>
        <v>88000</v>
      </c>
      <c r="O4" s="35">
        <f t="shared" ref="O4:R4" si="2">O3*N5</f>
        <v>52800</v>
      </c>
      <c r="P4" s="35">
        <f t="shared" si="2"/>
        <v>31680</v>
      </c>
      <c r="Q4" s="35">
        <f t="shared" si="2"/>
        <v>19008</v>
      </c>
      <c r="R4" s="36">
        <f t="shared" si="2"/>
        <v>11404.800000000001</v>
      </c>
      <c r="S4" s="36">
        <f>S3*R5</f>
        <v>6842.8799999999992</v>
      </c>
      <c r="T4" s="31"/>
      <c r="U4" s="31"/>
      <c r="V4" s="31"/>
    </row>
    <row r="5" spans="1:22" ht="30">
      <c r="B5" s="39" t="s">
        <v>71</v>
      </c>
      <c r="C5" s="39"/>
      <c r="D5" s="35">
        <f>D2-D3-D4</f>
        <v>-2000</v>
      </c>
      <c r="E5" s="35">
        <f t="shared" ref="E5:I5" si="3">E2-E3-E4</f>
        <v>33200</v>
      </c>
      <c r="F5" s="35">
        <f t="shared" si="3"/>
        <v>54320</v>
      </c>
      <c r="G5" s="35">
        <f t="shared" si="3"/>
        <v>66992</v>
      </c>
      <c r="H5" s="35">
        <f t="shared" si="3"/>
        <v>74595.199999999997</v>
      </c>
      <c r="I5" s="35">
        <f t="shared" si="3"/>
        <v>-6842.8799999999992</v>
      </c>
      <c r="J5" s="31"/>
      <c r="K5" s="2" t="s">
        <v>58</v>
      </c>
      <c r="L5" s="31"/>
      <c r="M5" s="35">
        <v>220000</v>
      </c>
      <c r="N5" s="35">
        <f>M5-N4</f>
        <v>132000</v>
      </c>
      <c r="O5" s="35">
        <f t="shared" ref="O5:R5" si="4">N5-O4</f>
        <v>79200</v>
      </c>
      <c r="P5" s="35">
        <f t="shared" si="4"/>
        <v>47520</v>
      </c>
      <c r="Q5" s="35">
        <f t="shared" si="4"/>
        <v>28512</v>
      </c>
      <c r="R5" s="35">
        <f t="shared" si="4"/>
        <v>17107.199999999997</v>
      </c>
      <c r="S5" s="60">
        <f>R5-S4</f>
        <v>10264.319999999998</v>
      </c>
      <c r="T5" s="31"/>
      <c r="U5" s="31"/>
      <c r="V5" s="31"/>
    </row>
    <row r="6" spans="1:22" ht="30">
      <c r="B6" s="39" t="s">
        <v>78</v>
      </c>
      <c r="C6" s="39"/>
      <c r="D6" s="37">
        <f>D5*0.3</f>
        <v>-600</v>
      </c>
      <c r="E6" s="37">
        <f t="shared" ref="E6:I6" si="5">E5*0.3</f>
        <v>9960</v>
      </c>
      <c r="F6" s="37">
        <f t="shared" si="5"/>
        <v>16296</v>
      </c>
      <c r="G6" s="37">
        <f t="shared" si="5"/>
        <v>20097.599999999999</v>
      </c>
      <c r="H6" s="37">
        <f t="shared" si="5"/>
        <v>22378.559999999998</v>
      </c>
      <c r="I6" s="37">
        <f t="shared" si="5"/>
        <v>-2052.8639999999996</v>
      </c>
      <c r="J6" s="31"/>
      <c r="K6" s="2" t="s">
        <v>54</v>
      </c>
      <c r="L6" s="31"/>
      <c r="M6" s="35">
        <f>M4*0.3</f>
        <v>0</v>
      </c>
      <c r="N6" s="35">
        <f t="shared" ref="N6:S6" si="6">N4*0.3</f>
        <v>26400</v>
      </c>
      <c r="O6" s="35">
        <f t="shared" si="6"/>
        <v>15840</v>
      </c>
      <c r="P6" s="35">
        <f t="shared" si="6"/>
        <v>9504</v>
      </c>
      <c r="Q6" s="35">
        <f t="shared" si="6"/>
        <v>5702.4</v>
      </c>
      <c r="R6" s="35">
        <f t="shared" si="6"/>
        <v>3421.44</v>
      </c>
      <c r="S6" s="35">
        <f t="shared" si="6"/>
        <v>2052.8639999999996</v>
      </c>
      <c r="T6" s="31"/>
      <c r="U6" s="31"/>
      <c r="V6" s="31"/>
    </row>
    <row r="7" spans="1:22">
      <c r="B7" s="39" t="s">
        <v>72</v>
      </c>
      <c r="C7" s="39"/>
      <c r="D7" s="38">
        <f>D5-D6</f>
        <v>-1400</v>
      </c>
      <c r="E7" s="38">
        <f t="shared" ref="E7:I7" si="7">E5-E6</f>
        <v>23240</v>
      </c>
      <c r="F7" s="38">
        <f t="shared" si="7"/>
        <v>38024</v>
      </c>
      <c r="G7" s="38">
        <f t="shared" si="7"/>
        <v>46894.400000000001</v>
      </c>
      <c r="H7" s="38">
        <f t="shared" si="7"/>
        <v>52216.639999999999</v>
      </c>
      <c r="I7" s="38">
        <f t="shared" si="7"/>
        <v>-4790.0159999999996</v>
      </c>
      <c r="J7" s="31"/>
      <c r="K7" s="31"/>
      <c r="L7" s="31"/>
      <c r="M7" s="35"/>
      <c r="N7" s="35"/>
      <c r="O7" s="35"/>
      <c r="P7" s="35"/>
      <c r="Q7" s="35"/>
      <c r="R7" s="35"/>
      <c r="S7" s="35"/>
      <c r="T7" s="31"/>
      <c r="U7" s="31"/>
      <c r="V7" s="31"/>
    </row>
    <row r="8" spans="1:22" ht="27.95" customHeight="1">
      <c r="B8" s="77" t="s">
        <v>87</v>
      </c>
      <c r="C8" s="77"/>
      <c r="D8" s="51">
        <f>D7+D4</f>
        <v>86600</v>
      </c>
      <c r="E8" s="51">
        <f t="shared" ref="E8:I8" si="8">E7+E4</f>
        <v>76040</v>
      </c>
      <c r="F8" s="51">
        <f t="shared" si="8"/>
        <v>69704</v>
      </c>
      <c r="G8" s="51">
        <f t="shared" si="8"/>
        <v>65902.399999999994</v>
      </c>
      <c r="H8" s="51">
        <f t="shared" si="8"/>
        <v>63621.440000000002</v>
      </c>
      <c r="I8" s="51">
        <f t="shared" si="8"/>
        <v>2052.8639999999996</v>
      </c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</row>
    <row r="10" spans="1:22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</row>
    <row r="11" spans="1:22" ht="30.75" thickBot="1">
      <c r="B11" s="47" t="s">
        <v>88</v>
      </c>
      <c r="C11" s="48">
        <v>0</v>
      </c>
      <c r="D11" s="48">
        <v>1</v>
      </c>
      <c r="E11" s="48">
        <v>2</v>
      </c>
      <c r="F11" s="48">
        <v>3</v>
      </c>
      <c r="G11" s="48">
        <v>4</v>
      </c>
      <c r="H11" s="48">
        <v>5</v>
      </c>
      <c r="I11" s="48">
        <v>6</v>
      </c>
      <c r="J11" s="31"/>
      <c r="K11" s="2" t="s">
        <v>7</v>
      </c>
      <c r="L11" s="2"/>
      <c r="M11" s="28">
        <v>0</v>
      </c>
      <c r="N11" s="28">
        <v>1</v>
      </c>
      <c r="O11" s="28">
        <v>2</v>
      </c>
      <c r="P11" s="28">
        <v>3</v>
      </c>
      <c r="Q11" s="2">
        <v>4</v>
      </c>
      <c r="R11" s="2">
        <v>5</v>
      </c>
      <c r="S11" s="2">
        <v>6</v>
      </c>
      <c r="T11" s="2">
        <v>7</v>
      </c>
      <c r="U11" s="2">
        <v>8</v>
      </c>
      <c r="V11" s="2">
        <v>9</v>
      </c>
    </row>
    <row r="12" spans="1:22">
      <c r="B12" s="39" t="s">
        <v>100</v>
      </c>
      <c r="C12" s="39"/>
      <c r="D12" s="35">
        <v>52000</v>
      </c>
      <c r="E12" s="35">
        <v>48000</v>
      </c>
      <c r="F12" s="35">
        <v>44000</v>
      </c>
      <c r="G12" s="35">
        <v>40000</v>
      </c>
      <c r="H12" s="35">
        <v>36000</v>
      </c>
      <c r="I12" s="35">
        <v>0</v>
      </c>
      <c r="J12" s="31"/>
      <c r="K12" s="2" t="s">
        <v>27</v>
      </c>
      <c r="L12" s="31"/>
      <c r="M12" s="46"/>
      <c r="N12" s="46"/>
      <c r="O12" s="46"/>
      <c r="P12" s="46"/>
      <c r="Q12" s="31"/>
      <c r="R12" s="31"/>
      <c r="S12" s="31"/>
      <c r="T12" s="31"/>
      <c r="U12" s="31"/>
      <c r="V12" s="31"/>
    </row>
    <row r="13" spans="1:22">
      <c r="B13" s="39"/>
      <c r="C13" s="39"/>
      <c r="D13" s="36"/>
      <c r="E13" s="36"/>
      <c r="F13" s="36"/>
      <c r="G13" s="36"/>
      <c r="H13" s="36"/>
      <c r="I13" s="49"/>
      <c r="J13" s="31"/>
      <c r="K13" s="2" t="s">
        <v>13</v>
      </c>
      <c r="L13" s="31"/>
      <c r="M13" s="29">
        <f>1/5*2</f>
        <v>0.4</v>
      </c>
      <c r="N13" s="29">
        <f t="shared" ref="N13:V13" si="9">1/5*2</f>
        <v>0.4</v>
      </c>
      <c r="O13" s="29">
        <f t="shared" si="9"/>
        <v>0.4</v>
      </c>
      <c r="P13" s="29">
        <f t="shared" si="9"/>
        <v>0.4</v>
      </c>
      <c r="Q13" s="4">
        <f t="shared" si="9"/>
        <v>0.4</v>
      </c>
      <c r="R13" s="4">
        <f t="shared" si="9"/>
        <v>0.4</v>
      </c>
      <c r="S13" s="4">
        <f t="shared" si="9"/>
        <v>0.4</v>
      </c>
      <c r="T13" s="4">
        <f t="shared" si="9"/>
        <v>0.4</v>
      </c>
      <c r="U13" s="4">
        <f t="shared" si="9"/>
        <v>0.4</v>
      </c>
      <c r="V13" s="4">
        <f t="shared" si="9"/>
        <v>0.4</v>
      </c>
    </row>
    <row r="14" spans="1:22" ht="45">
      <c r="B14" s="39" t="s">
        <v>70</v>
      </c>
      <c r="C14" s="39"/>
      <c r="D14" s="50">
        <f>P14</f>
        <v>17280</v>
      </c>
      <c r="E14" s="50">
        <f t="shared" ref="E14:H14" si="10">Q14</f>
        <v>10368</v>
      </c>
      <c r="F14" s="50">
        <f t="shared" si="10"/>
        <v>6220.8</v>
      </c>
      <c r="G14" s="50">
        <f t="shared" si="10"/>
        <v>3732.4800000000005</v>
      </c>
      <c r="H14" s="50">
        <f t="shared" si="10"/>
        <v>2239.4880000000003</v>
      </c>
      <c r="I14" s="50">
        <f t="shared" ref="I14" si="11">V14</f>
        <v>806.21568000000002</v>
      </c>
      <c r="J14" s="31"/>
      <c r="K14" s="2" t="s">
        <v>59</v>
      </c>
      <c r="L14" s="31"/>
      <c r="M14" s="52">
        <v>0</v>
      </c>
      <c r="N14" s="52">
        <f>N13*M15</f>
        <v>48000</v>
      </c>
      <c r="O14" s="52">
        <f t="shared" ref="O14:R14" si="12">O13*N15</f>
        <v>28800</v>
      </c>
      <c r="P14" s="52">
        <f t="shared" si="12"/>
        <v>17280</v>
      </c>
      <c r="Q14" s="35">
        <f t="shared" si="12"/>
        <v>10368</v>
      </c>
      <c r="R14" s="35">
        <f t="shared" si="12"/>
        <v>6220.8</v>
      </c>
      <c r="S14" s="35">
        <f>S13*R15</f>
        <v>3732.4800000000005</v>
      </c>
      <c r="T14" s="36">
        <f t="shared" ref="T14:V14" si="13">T13*S15</f>
        <v>2239.4880000000003</v>
      </c>
      <c r="U14" s="36">
        <f t="shared" si="13"/>
        <v>1343.6928</v>
      </c>
      <c r="V14" s="36">
        <f t="shared" si="13"/>
        <v>806.21568000000002</v>
      </c>
    </row>
    <row r="15" spans="1:22" ht="30">
      <c r="B15" s="39" t="s">
        <v>71</v>
      </c>
      <c r="C15" s="39"/>
      <c r="D15" s="35">
        <f>D12-D13-D14</f>
        <v>34720</v>
      </c>
      <c r="E15" s="35">
        <f t="shared" ref="E15:I15" si="14">E12-E13-E14</f>
        <v>37632</v>
      </c>
      <c r="F15" s="35">
        <f t="shared" si="14"/>
        <v>37779.199999999997</v>
      </c>
      <c r="G15" s="35">
        <f t="shared" si="14"/>
        <v>36267.519999999997</v>
      </c>
      <c r="H15" s="35">
        <f t="shared" si="14"/>
        <v>33760.512000000002</v>
      </c>
      <c r="I15" s="35">
        <f t="shared" si="14"/>
        <v>-806.21568000000002</v>
      </c>
      <c r="J15" s="31"/>
      <c r="K15" s="2" t="s">
        <v>58</v>
      </c>
      <c r="L15" s="31"/>
      <c r="M15" s="52">
        <v>120000</v>
      </c>
      <c r="N15" s="52">
        <f>M15-N14</f>
        <v>72000</v>
      </c>
      <c r="O15" s="53">
        <f t="shared" ref="O15:R15" si="15">N15-O14</f>
        <v>43200</v>
      </c>
      <c r="P15" s="52">
        <f t="shared" si="15"/>
        <v>25920</v>
      </c>
      <c r="Q15" s="35">
        <f t="shared" si="15"/>
        <v>15552</v>
      </c>
      <c r="R15" s="35">
        <f t="shared" si="15"/>
        <v>9331.2000000000007</v>
      </c>
      <c r="S15" s="35">
        <f>R15-S14</f>
        <v>5598.72</v>
      </c>
      <c r="T15" s="36">
        <f t="shared" ref="T15:V15" si="16">S15-T14</f>
        <v>3359.232</v>
      </c>
      <c r="U15" s="36">
        <f t="shared" si="16"/>
        <v>2015.5391999999999</v>
      </c>
      <c r="V15" s="36">
        <f t="shared" si="16"/>
        <v>1209.3235199999999</v>
      </c>
    </row>
    <row r="16" spans="1:22" ht="30">
      <c r="B16" s="39" t="s">
        <v>78</v>
      </c>
      <c r="C16" s="39"/>
      <c r="D16" s="37">
        <f>D15*0.3</f>
        <v>10416</v>
      </c>
      <c r="E16" s="37">
        <f t="shared" ref="E16:I16" si="17">E15*0.3</f>
        <v>11289.6</v>
      </c>
      <c r="F16" s="37">
        <f t="shared" si="17"/>
        <v>11333.759999999998</v>
      </c>
      <c r="G16" s="37">
        <f t="shared" si="17"/>
        <v>10880.255999999999</v>
      </c>
      <c r="H16" s="37">
        <f t="shared" si="17"/>
        <v>10128.1536</v>
      </c>
      <c r="I16" s="37">
        <f t="shared" si="17"/>
        <v>-241.86470399999999</v>
      </c>
      <c r="J16" s="31"/>
      <c r="K16" s="2" t="s">
        <v>54</v>
      </c>
      <c r="L16" s="31"/>
      <c r="M16" s="52">
        <f>M14*0.3</f>
        <v>0</v>
      </c>
      <c r="N16" s="52">
        <f t="shared" ref="N16:V16" si="18">N14*0.3</f>
        <v>14400</v>
      </c>
      <c r="O16" s="52">
        <f t="shared" si="18"/>
        <v>8640</v>
      </c>
      <c r="P16" s="52">
        <f t="shared" si="18"/>
        <v>5184</v>
      </c>
      <c r="Q16" s="35">
        <f t="shared" si="18"/>
        <v>3110.4</v>
      </c>
      <c r="R16" s="35">
        <f t="shared" si="18"/>
        <v>1866.24</v>
      </c>
      <c r="S16" s="35">
        <f t="shared" si="18"/>
        <v>1119.7440000000001</v>
      </c>
      <c r="T16" s="36">
        <f t="shared" si="18"/>
        <v>671.84640000000002</v>
      </c>
      <c r="U16" s="36">
        <f t="shared" si="18"/>
        <v>403.10784000000001</v>
      </c>
      <c r="V16" s="36">
        <f t="shared" si="18"/>
        <v>241.86470399999999</v>
      </c>
    </row>
    <row r="17" spans="1:22">
      <c r="B17" s="39" t="s">
        <v>72</v>
      </c>
      <c r="C17" s="39"/>
      <c r="D17" s="38">
        <f>D15-D16</f>
        <v>24304</v>
      </c>
      <c r="E17" s="38">
        <f t="shared" ref="E17:I17" si="19">E15-E16</f>
        <v>26342.400000000001</v>
      </c>
      <c r="F17" s="38">
        <f t="shared" si="19"/>
        <v>26445.439999999999</v>
      </c>
      <c r="G17" s="38">
        <f t="shared" si="19"/>
        <v>25387.263999999996</v>
      </c>
      <c r="H17" s="38">
        <f t="shared" si="19"/>
        <v>23632.358400000005</v>
      </c>
      <c r="I17" s="38">
        <f t="shared" si="19"/>
        <v>-564.35097600000006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ht="27.95" customHeight="1">
      <c r="B18" s="77" t="s">
        <v>87</v>
      </c>
      <c r="C18" s="77"/>
      <c r="D18" s="51">
        <f>D17+D14</f>
        <v>41584</v>
      </c>
      <c r="E18" s="51">
        <f t="shared" ref="E18:I18" si="20">E17+E14</f>
        <v>36710.400000000001</v>
      </c>
      <c r="F18" s="51">
        <f t="shared" si="20"/>
        <v>32666.239999999998</v>
      </c>
      <c r="G18" s="51">
        <f t="shared" si="20"/>
        <v>29119.743999999995</v>
      </c>
      <c r="H18" s="51">
        <f t="shared" si="20"/>
        <v>25871.846400000006</v>
      </c>
      <c r="I18" s="51">
        <f t="shared" si="20"/>
        <v>241.86470399999996</v>
      </c>
      <c r="J18" s="31"/>
      <c r="K18" s="31"/>
      <c r="L18" s="31"/>
      <c r="M18" s="31" t="s">
        <v>102</v>
      </c>
      <c r="N18" s="31"/>
      <c r="O18" s="31"/>
      <c r="P18" s="31"/>
      <c r="Q18" s="31"/>
      <c r="R18" s="31"/>
      <c r="S18" s="31"/>
      <c r="T18" s="31"/>
      <c r="U18" s="31"/>
      <c r="V18" s="31"/>
    </row>
    <row r="19" spans="1:22">
      <c r="B19" s="54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 t="s">
        <v>101</v>
      </c>
      <c r="N19" s="31"/>
      <c r="O19" s="31"/>
      <c r="P19" s="31"/>
      <c r="Q19" s="31"/>
      <c r="R19" s="31"/>
      <c r="S19" s="31"/>
      <c r="T19" s="31"/>
      <c r="U19" s="31"/>
      <c r="V19" s="31"/>
    </row>
    <row r="20" spans="1:22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53">
        <f>O15</f>
        <v>43200</v>
      </c>
      <c r="O20" s="31"/>
      <c r="P20" s="31"/>
      <c r="Q20" s="31"/>
      <c r="R20" s="31"/>
      <c r="S20" s="31"/>
      <c r="T20" s="31"/>
      <c r="U20" s="31"/>
      <c r="V20" s="31"/>
    </row>
    <row r="21" spans="1:22" ht="15.75">
      <c r="A21" s="80" t="s">
        <v>132</v>
      </c>
      <c r="B21" s="31" t="s">
        <v>91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</row>
    <row r="22" spans="1:22" ht="15.75" thickBot="1">
      <c r="B22" s="55" t="s">
        <v>7</v>
      </c>
      <c r="C22" s="56">
        <v>0</v>
      </c>
      <c r="D22" s="48">
        <v>1</v>
      </c>
      <c r="E22" s="48">
        <v>2</v>
      </c>
      <c r="F22" s="48">
        <v>3</v>
      </c>
      <c r="G22" s="48">
        <v>4</v>
      </c>
      <c r="H22" s="48">
        <v>5</v>
      </c>
      <c r="I22" s="48">
        <v>6</v>
      </c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</row>
    <row r="23" spans="1:22" ht="30">
      <c r="B23" s="39" t="s">
        <v>85</v>
      </c>
      <c r="C23" s="39"/>
      <c r="D23" s="57">
        <f>D8</f>
        <v>86600</v>
      </c>
      <c r="E23" s="57">
        <f t="shared" ref="E23:I23" si="21">E8</f>
        <v>76040</v>
      </c>
      <c r="F23" s="57">
        <f t="shared" si="21"/>
        <v>69704</v>
      </c>
      <c r="G23" s="57">
        <f t="shared" si="21"/>
        <v>65902.399999999994</v>
      </c>
      <c r="H23" s="57">
        <f t="shared" si="21"/>
        <v>63621.440000000002</v>
      </c>
      <c r="I23" s="57">
        <f t="shared" si="21"/>
        <v>2052.8639999999996</v>
      </c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</row>
    <row r="24" spans="1:22" ht="30">
      <c r="B24" s="39" t="s">
        <v>89</v>
      </c>
      <c r="C24" s="39"/>
      <c r="D24" s="58">
        <f>D18</f>
        <v>41584</v>
      </c>
      <c r="E24" s="58">
        <f t="shared" ref="E24:I24" si="22">E18</f>
        <v>36710.400000000001</v>
      </c>
      <c r="F24" s="58">
        <f t="shared" si="22"/>
        <v>32666.239999999998</v>
      </c>
      <c r="G24" s="58">
        <f t="shared" si="22"/>
        <v>29119.743999999995</v>
      </c>
      <c r="H24" s="58">
        <f t="shared" si="22"/>
        <v>25871.846400000006</v>
      </c>
      <c r="I24" s="58">
        <f t="shared" si="22"/>
        <v>241.86470399999996</v>
      </c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>
      <c r="B25" s="39" t="s">
        <v>90</v>
      </c>
      <c r="C25" s="59">
        <v>-166960</v>
      </c>
      <c r="D25" s="59">
        <f>D23-D24</f>
        <v>45016</v>
      </c>
      <c r="E25" s="59">
        <f t="shared" ref="E25:I25" si="23">E23-E24</f>
        <v>39329.599999999999</v>
      </c>
      <c r="F25" s="59">
        <f t="shared" si="23"/>
        <v>37037.760000000002</v>
      </c>
      <c r="G25" s="59">
        <f t="shared" si="23"/>
        <v>36782.656000000003</v>
      </c>
      <c r="H25" s="59">
        <f t="shared" si="23"/>
        <v>37749.593599999993</v>
      </c>
      <c r="I25" s="59">
        <f t="shared" si="23"/>
        <v>1810.9992959999995</v>
      </c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>
      <c r="B26" s="27"/>
    </row>
  </sheetData>
  <mergeCells count="2">
    <mergeCell ref="B8:C8"/>
    <mergeCell ref="B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ST10-1</vt:lpstr>
      <vt:lpstr>ST10-2</vt:lpstr>
      <vt:lpstr>P10-1</vt:lpstr>
      <vt:lpstr>P10-2</vt:lpstr>
      <vt:lpstr>P10-3</vt:lpstr>
      <vt:lpstr>P10-4</vt:lpstr>
      <vt:lpstr>P10-6</vt:lpstr>
      <vt:lpstr>P10-10 b)</vt:lpstr>
      <vt:lpstr>P10-11</vt:lpstr>
      <vt:lpstr>P10-12</vt:lpstr>
      <vt:lpstr>P10-13</vt:lpstr>
      <vt:lpstr>MiniCase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Nathan Katz</cp:lastModifiedBy>
  <cp:lastPrinted>2013-08-15T04:56:13Z</cp:lastPrinted>
  <dcterms:created xsi:type="dcterms:W3CDTF">2013-08-08T09:21:57Z</dcterms:created>
  <dcterms:modified xsi:type="dcterms:W3CDTF">2013-11-12T00:08:19Z</dcterms:modified>
</cp:coreProperties>
</file>